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8X/bWNtHhGPUzKRSLQk+a6UfHl8xVfrrBx2DWrOO9qnmHTjwHyWgpR+dCNhSadvA3+m1kXizXsVSwdi+h7FrQ==" workbookSaltValue="ohY+ps2lotISZJoSmGxq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AP15" i="20"/>
  <c r="R17" i="20"/>
  <c r="BK17" i="11"/>
  <c r="AZ9" i="11"/>
  <c r="AZ13" i="11" s="1"/>
  <c r="AP17" i="20"/>
  <c r="AZ15" i="11"/>
  <c r="AZ18" i="11" s="1"/>
  <c r="BU11" i="17"/>
  <c r="BV17" i="16"/>
  <c r="BU10" i="17"/>
  <c r="BV12" i="16"/>
  <c r="BW12" i="20"/>
  <c r="BV11" i="16"/>
  <c r="BW11" i="20"/>
  <c r="U10" i="17"/>
  <c r="BW10" i="20"/>
  <c r="V12" i="16"/>
  <c r="BU16" i="17"/>
  <c r="BV9" i="16"/>
  <c r="T13" i="16"/>
  <c r="AA17" i="16"/>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L17" i="2"/>
  <c r="X10" i="21"/>
  <c r="X15" i="16"/>
  <c r="X18" i="16" s="1"/>
  <c r="U9" i="17"/>
  <c r="U19" i="17" s="1"/>
  <c r="V10" i="16"/>
  <c r="R18" i="20"/>
  <c r="AP13" i="16"/>
  <c r="V9" i="16"/>
  <c r="T18" i="17"/>
  <c r="BG15" i="13"/>
  <c r="BE16" i="13"/>
  <c r="BE15" i="13"/>
  <c r="AX20" i="20"/>
  <c r="S19" i="8" l="1"/>
  <c r="B18" i="7"/>
  <c r="C12" i="14"/>
  <c r="K12" i="14" s="1"/>
  <c r="AB13" i="21"/>
  <c r="BG10" i="8"/>
  <c r="H10" i="2"/>
  <c r="B9" i="6"/>
  <c r="AZ16" i="11"/>
  <c r="BU12" i="17"/>
  <c r="S11" i="17"/>
  <c r="BU17" i="17"/>
  <c r="BV10" i="16"/>
  <c r="BU9" i="17"/>
  <c r="BW15" i="20"/>
  <c r="BV15" i="16"/>
  <c r="BW16" i="20"/>
  <c r="BV16" i="16"/>
  <c r="BW17" i="20"/>
  <c r="BW9" i="20"/>
  <c r="BU15" i="17"/>
  <c r="T15" i="16"/>
  <c r="T17" i="16"/>
  <c r="BM15" i="11"/>
  <c r="BH17" i="11"/>
  <c r="BG15" i="11"/>
  <c r="BJ12" i="11"/>
  <c r="BM12" i="11"/>
  <c r="BF10" i="11"/>
  <c r="BM16" i="11"/>
  <c r="BH11" i="16"/>
  <c r="AL16" i="11"/>
  <c r="C16" i="6"/>
  <c r="BE9" i="13"/>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<sst xmlns="http://schemas.openxmlformats.org/spreadsheetml/2006/main" count="2102" uniqueCount="917">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</sst>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skR99nAgFAaNGk5w4BQIj5QI1gj9VRg/ANRtPLOiuQR1Cea9kAQWtcjX+unENjPSE+LQExZlk5Lz6eZg+U2/w==" saltValue="Vn4NBDyhOCftgory8QH5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3</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27.485933503836314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494</v>
      </c>
      <c r="D16" s="225">
        <f>IF(ISNUMBER(IF(D_I="SI",Datos!I16,Datos!I16+Datos!AC16)),IF(D_I="SI",Datos!I16,Datos!I16+Datos!AC16)," - ")</f>
        <v>489</v>
      </c>
      <c r="E16" s="226">
        <f>IF(ISNUMBER(IF(D_I="SI",Datos!J16,Datos!J16+Datos!AD16)),IF(D_I="SI",Datos!J16,Datos!J16+Datos!AD16)," - ")</f>
        <v>256</v>
      </c>
      <c r="F16" s="226">
        <f>IF(ISNUMBER(IF(D_I="SI",Datos!K16,Datos!K16+Datos!AE16)),IF(D_I="SI",Datos!K16,Datos!K16+Datos!AE16)," - ")</f>
        <v>240</v>
      </c>
      <c r="G16" s="1034" t="str">
        <f>IF(Datos!E16&lt;&gt;"",Datos!E16,Datos!D16)</f>
        <v>04</v>
      </c>
      <c r="H16" s="227">
        <f>IF(ISNUMBER(IF(D_I="SI",Datos!L16,Datos!L16+Datos!AF16)),IF(D_I="SI",Datos!L16,Datos!L16+Datos!AF16)," - ")</f>
        <v>510</v>
      </c>
      <c r="I16" s="1044" t="str">
        <f>IF(ISNUMBER(Datos!AS16/Datos!BM16),Datos!AS16/Datos!BM16," - ")</f>
        <v xml:space="preserve"> - </v>
      </c>
      <c r="J16" s="1045">
        <f>IF(ISNUMBER(Datos!BY16/Datos!CN16),Datos!BY16/Datos!CN16," - ")</f>
        <v>0</v>
      </c>
      <c r="K16" s="230">
        <f t="shared" si="3"/>
        <v>3.2388663967611336E-2</v>
      </c>
      <c r="L16" s="1025">
        <f>IF(ISNUMBER(NºAsuntos!I16/NºAsuntos!G16),(NºAsuntos!I16/NºAsuntos!G16)*11," - ")</f>
        <v>23.375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15</v>
      </c>
      <c r="F17" s="226">
        <f>IF(ISNUMBER(IF(D_I="SI",Datos!K17,Datos!K17+Datos!AE17)),IF(D_I="SI",Datos!K17,Datos!K17+Datos!AE17)," - ")</f>
        <v>16</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-2.0833333333333332E-2</v>
      </c>
      <c r="L17" s="1025">
        <f>IF(ISNUMBER(NºAsuntos!I17/NºAsuntos!G17),(NºAsuntos!I17/NºAsuntos!G17)*11," - ")</f>
        <v>32.3125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542</v>
      </c>
      <c r="D18" s="1049">
        <f>SUBTOTAL(9,D15:D17)</f>
        <v>537</v>
      </c>
      <c r="E18" s="1050">
        <f>SUBTOTAL(9,E15:E17)</f>
        <v>271</v>
      </c>
      <c r="F18" s="1050">
        <f>SUBTOTAL(9,F15:F17)</f>
        <v>256</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542</v>
      </c>
      <c r="D19" s="1071">
        <f>SUBTOTAL(9,D9:D18)</f>
        <v>537</v>
      </c>
      <c r="E19" s="1072">
        <f>SUBTOTAL(9,E9:E18)</f>
        <v>274</v>
      </c>
      <c r="F19" s="1072">
        <f>SUBTOTAL(9,F9:F18)</f>
        <v>257</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cjAkH7iGDY1s02KvQ0YrqOYV/RkLTOqFVqcjZ905ufkMKc7JTPO6DUJK7uKbrDFA0NLDGVWU7Cm53MsPENzpg==" saltValue="gln/i3N2xUMftG6Gr+LF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6cgSqLdCRFpnBAdGNhXNgpAJQWh9J67T3PshqhuWlIdIfWXzhVc/+egf1nrn3PAvJxFl88K5aZdc6wxecIRdw==" saltValue="f5BjtFgtEWntC3E0QwrH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3</v>
      </c>
      <c r="K10" s="181">
        <v>1</v>
      </c>
      <c r="L10" s="181">
        <v>2</v>
      </c>
      <c r="M10" s="181">
        <v>0</v>
      </c>
      <c r="N10" s="181">
        <v>0</v>
      </c>
      <c r="O10" s="181">
        <v>0</v>
      </c>
      <c r="P10" s="181">
        <v>2</v>
      </c>
      <c r="Q10" s="181">
        <v>0</v>
      </c>
      <c r="R10" s="181">
        <v>2</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1042</v>
      </c>
      <c r="J12" s="183">
        <v>285</v>
      </c>
      <c r="K12" s="183">
        <v>367</v>
      </c>
      <c r="L12" s="183">
        <v>960</v>
      </c>
      <c r="M12" s="183">
        <v>81</v>
      </c>
      <c r="N12" s="183">
        <v>179</v>
      </c>
      <c r="O12" s="181">
        <v>158</v>
      </c>
      <c r="P12" s="183">
        <v>99</v>
      </c>
      <c r="Q12" s="183">
        <v>68</v>
      </c>
      <c r="R12" s="183">
        <v>1470</v>
      </c>
      <c r="S12" s="183">
        <v>894</v>
      </c>
      <c r="T12" s="183">
        <v>392</v>
      </c>
      <c r="U12" s="183">
        <v>209</v>
      </c>
      <c r="V12" s="183">
        <v>1077</v>
      </c>
      <c r="W12" s="183">
        <v>64</v>
      </c>
      <c r="X12" s="189">
        <v>86</v>
      </c>
      <c r="Y12" s="191">
        <v>27</v>
      </c>
      <c r="Z12" s="181">
        <v>14</v>
      </c>
      <c r="AA12" s="181">
        <v>24</v>
      </c>
      <c r="AB12" s="181">
        <v>17</v>
      </c>
      <c r="AC12" s="183">
        <v>0</v>
      </c>
      <c r="AD12" s="183">
        <v>0</v>
      </c>
      <c r="AE12" s="183">
        <v>0</v>
      </c>
      <c r="AF12" s="189">
        <v>0</v>
      </c>
      <c r="AG12" s="202">
        <v>43</v>
      </c>
      <c r="AH12" s="183">
        <v>36</v>
      </c>
      <c r="AI12" s="183">
        <v>40</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937</v>
      </c>
      <c r="AZ12" s="127">
        <f t="shared" si="1"/>
        <v>428</v>
      </c>
      <c r="BA12" s="127">
        <f t="shared" si="1"/>
        <v>249</v>
      </c>
      <c r="BB12" s="127">
        <f t="shared" si="1"/>
        <v>1116</v>
      </c>
      <c r="BC12" s="125">
        <f>IF(ISNUMBER(X12),X12," - ")</f>
        <v>86</v>
      </c>
      <c r="BD12" s="126">
        <f t="shared" si="2"/>
        <v>0.58177570093457942</v>
      </c>
      <c r="BE12" s="127">
        <f t="shared" si="3"/>
        <v>4.4819277108433733</v>
      </c>
      <c r="BF12" s="127">
        <f t="shared" si="4"/>
        <v>0.34538152610441769</v>
      </c>
      <c r="BG12" s="196">
        <f t="shared" si="5"/>
        <v>5.4819277108433733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1042</v>
      </c>
      <c r="J13" s="184">
        <f t="shared" si="6"/>
        <v>288</v>
      </c>
      <c r="K13" s="184">
        <f t="shared" si="6"/>
        <v>368</v>
      </c>
      <c r="L13" s="184">
        <f t="shared" si="6"/>
        <v>962</v>
      </c>
      <c r="M13" s="184">
        <f t="shared" si="6"/>
        <v>81</v>
      </c>
      <c r="N13" s="184">
        <f t="shared" si="6"/>
        <v>179</v>
      </c>
      <c r="O13" s="184">
        <f t="shared" si="6"/>
        <v>158</v>
      </c>
      <c r="P13" s="184">
        <f t="shared" si="6"/>
        <v>101</v>
      </c>
      <c r="Q13" s="184">
        <f t="shared" si="6"/>
        <v>68</v>
      </c>
      <c r="R13" s="184">
        <f t="shared" si="6"/>
        <v>1472</v>
      </c>
      <c r="S13" s="184">
        <f t="shared" si="6"/>
        <v>894</v>
      </c>
      <c r="T13" s="184">
        <f t="shared" si="6"/>
        <v>392</v>
      </c>
      <c r="U13" s="184">
        <f t="shared" si="6"/>
        <v>209</v>
      </c>
      <c r="V13" s="184">
        <f t="shared" si="6"/>
        <v>1077</v>
      </c>
      <c r="W13" s="184">
        <f t="shared" si="6"/>
        <v>64</v>
      </c>
      <c r="X13" s="184">
        <f t="shared" si="6"/>
        <v>86</v>
      </c>
      <c r="Y13" s="184">
        <f t="shared" si="6"/>
        <v>27</v>
      </c>
      <c r="Z13" s="184">
        <f t="shared" si="6"/>
        <v>14</v>
      </c>
      <c r="AA13" s="184">
        <f t="shared" si="6"/>
        <v>24</v>
      </c>
      <c r="AB13" s="184">
        <f t="shared" si="6"/>
        <v>17</v>
      </c>
      <c r="AC13" s="184">
        <f t="shared" si="6"/>
        <v>0</v>
      </c>
      <c r="AD13" s="184">
        <f t="shared" si="6"/>
        <v>0</v>
      </c>
      <c r="AE13" s="184">
        <f t="shared" si="6"/>
        <v>0</v>
      </c>
      <c r="AF13" s="184">
        <f>SUBTOTAL(9,AF9:AF12)</f>
        <v>0</v>
      </c>
      <c r="AG13" s="184">
        <f t="shared" ref="AG13:AT13" si="7">SUBTOTAL(9,AG8:AG12)</f>
        <v>43</v>
      </c>
      <c r="AH13" s="184">
        <f t="shared" si="7"/>
        <v>36</v>
      </c>
      <c r="AI13" s="184">
        <f t="shared" si="7"/>
        <v>40</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937</v>
      </c>
      <c r="AZ13" s="184">
        <f>SUBTOTAL(9,AZ8:AZ12)</f>
        <v>428</v>
      </c>
      <c r="BA13" s="184">
        <f>SUBTOTAL(9,BA8:BA12)</f>
        <v>249</v>
      </c>
      <c r="BB13" s="184">
        <f>SUBTOTAL(9,BB8:BB12)</f>
        <v>1116</v>
      </c>
      <c r="BC13" s="184">
        <f>SUBTOTAL(9,BC8:BC12)</f>
        <v>86</v>
      </c>
      <c r="BD13" s="205">
        <f>IF(ISNUMBER(BA13/AZ13),BA13/AZ13," - ")</f>
        <v>0.58177570093457942</v>
      </c>
      <c r="BE13" s="206">
        <f>IF(ISNUMBER(BB13/BA13),BB13/BA13, " - ")</f>
        <v>4.4819277108433733</v>
      </c>
      <c r="BF13" s="206">
        <f>IF(ISNUMBER(BC13/BA13),BC13/BA13, " - ")</f>
        <v>0.34538152610441769</v>
      </c>
      <c r="BG13" s="207">
        <f>IF(ISNUMBER((AY13+AZ13)/BA13),(AY13+AZ13)/BA13," - ")</f>
        <v>5.4819277108433733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489</v>
      </c>
      <c r="J16" s="183">
        <v>256</v>
      </c>
      <c r="K16" s="183">
        <v>240</v>
      </c>
      <c r="L16" s="183">
        <v>510</v>
      </c>
      <c r="M16" s="183">
        <v>30</v>
      </c>
      <c r="N16" s="183">
        <v>102</v>
      </c>
      <c r="O16" s="181">
        <v>21</v>
      </c>
      <c r="P16" s="183">
        <v>6</v>
      </c>
      <c r="Q16" s="183">
        <v>26</v>
      </c>
      <c r="R16" s="183">
        <v>65</v>
      </c>
      <c r="S16" s="183">
        <v>458</v>
      </c>
      <c r="T16" s="183">
        <v>275</v>
      </c>
      <c r="U16" s="183">
        <v>228</v>
      </c>
      <c r="V16" s="183">
        <v>508</v>
      </c>
      <c r="W16" s="183">
        <v>41</v>
      </c>
      <c r="X16" s="189">
        <v>79</v>
      </c>
      <c r="Y16" s="202">
        <v>0</v>
      </c>
      <c r="Z16" s="183">
        <v>0</v>
      </c>
      <c r="AA16" s="183">
        <v>0</v>
      </c>
      <c r="AB16" s="183">
        <v>0</v>
      </c>
      <c r="AC16" s="183">
        <v>2</v>
      </c>
      <c r="AD16" s="183">
        <v>4</v>
      </c>
      <c r="AE16" s="183">
        <v>4</v>
      </c>
      <c r="AF16" s="189">
        <v>2</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458</v>
      </c>
      <c r="AZ16" s="127">
        <f t="shared" si="9"/>
        <v>275</v>
      </c>
      <c r="BA16" s="127">
        <f t="shared" si="9"/>
        <v>228</v>
      </c>
      <c r="BB16" s="127">
        <f t="shared" si="9"/>
        <v>508</v>
      </c>
      <c r="BC16" s="125">
        <f>IF(ISNUMBER(W16),W16," - ")</f>
        <v>41</v>
      </c>
      <c r="BD16" s="126">
        <f t="shared" ref="BD16" si="11">IF(ISNUMBER(BA16/AZ16),BA16/AZ16," - ")</f>
        <v>0.8290909090909091</v>
      </c>
      <c r="BE16" s="127">
        <f t="shared" ref="BE16" si="12">IF(ISNUMBER(BB16/BA16),BB16/BA16, " - ")</f>
        <v>2.2280701754385963</v>
      </c>
      <c r="BF16" s="127">
        <f t="shared" ref="BF16" si="13">IF(ISNUMBER(BC16/BA16),BC16/BA16, " - ")</f>
        <v>0.17982456140350878</v>
      </c>
      <c r="BG16" s="196">
        <f t="shared" si="10"/>
        <v>3.2149122807017543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15</v>
      </c>
      <c r="K17" s="183">
        <v>16</v>
      </c>
      <c r="L17" s="183">
        <v>47</v>
      </c>
      <c r="M17" s="183">
        <v>3</v>
      </c>
      <c r="N17" s="183">
        <v>11</v>
      </c>
      <c r="O17" s="183">
        <v>0</v>
      </c>
      <c r="P17" s="183">
        <v>0</v>
      </c>
      <c r="Q17" s="183">
        <v>0</v>
      </c>
      <c r="R17" s="183">
        <v>0</v>
      </c>
      <c r="S17" s="183">
        <v>44</v>
      </c>
      <c r="T17" s="183">
        <v>24</v>
      </c>
      <c r="U17" s="183">
        <v>22</v>
      </c>
      <c r="V17" s="183">
        <v>46</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24</v>
      </c>
      <c r="BA17" s="129">
        <f t="shared" si="14"/>
        <v>22</v>
      </c>
      <c r="BB17" s="129">
        <f t="shared" si="14"/>
        <v>46</v>
      </c>
      <c r="BC17" s="125">
        <f>IF(ISNUMBER(W17),W17," - ")</f>
        <v>3</v>
      </c>
      <c r="BD17" s="126">
        <f>IF(ISNUMBER(BA17/AZ17),BA17/AZ17," - ")</f>
        <v>0.91666666666666663</v>
      </c>
      <c r="BE17" s="127">
        <f>IF(ISNUMBER(BB17/BA17),BB17/BA17, " - ")</f>
        <v>2.0909090909090908</v>
      </c>
      <c r="BF17" s="127">
        <f>IF(ISNUMBER(BC17/BA17),BC17/BA17, " - ")</f>
        <v>0.13636363636363635</v>
      </c>
      <c r="BG17" s="196">
        <f>IF(ISNUMBER((AY17+AZ17)/BA17),(AY17+AZ17)/BA17," - ")</f>
        <v>3.0909090909090908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537</v>
      </c>
      <c r="J18" s="184">
        <f t="shared" si="15"/>
        <v>271</v>
      </c>
      <c r="K18" s="184">
        <f t="shared" si="15"/>
        <v>256</v>
      </c>
      <c r="L18" s="184">
        <f t="shared" si="15"/>
        <v>557</v>
      </c>
      <c r="M18" s="184">
        <f t="shared" si="15"/>
        <v>33</v>
      </c>
      <c r="N18" s="184">
        <f t="shared" si="15"/>
        <v>113</v>
      </c>
      <c r="O18" s="184">
        <f t="shared" si="15"/>
        <v>21</v>
      </c>
      <c r="P18" s="184">
        <f t="shared" si="15"/>
        <v>6</v>
      </c>
      <c r="Q18" s="184">
        <f t="shared" si="15"/>
        <v>26</v>
      </c>
      <c r="R18" s="184">
        <f t="shared" si="15"/>
        <v>65</v>
      </c>
      <c r="S18" s="184">
        <f t="shared" si="15"/>
        <v>502</v>
      </c>
      <c r="T18" s="184">
        <f t="shared" si="15"/>
        <v>299</v>
      </c>
      <c r="U18" s="184">
        <f t="shared" si="15"/>
        <v>250</v>
      </c>
      <c r="V18" s="184">
        <f t="shared" si="15"/>
        <v>554</v>
      </c>
      <c r="W18" s="184">
        <f t="shared" si="15"/>
        <v>44</v>
      </c>
      <c r="X18" s="184">
        <f t="shared" si="15"/>
        <v>95</v>
      </c>
      <c r="Y18" s="184">
        <f t="shared" si="15"/>
        <v>0</v>
      </c>
      <c r="Z18" s="184">
        <f t="shared" si="15"/>
        <v>0</v>
      </c>
      <c r="AA18" s="184">
        <f t="shared" si="15"/>
        <v>0</v>
      </c>
      <c r="AB18" s="184">
        <f t="shared" si="15"/>
        <v>0</v>
      </c>
      <c r="AC18" s="184">
        <f t="shared" si="15"/>
        <v>2</v>
      </c>
      <c r="AD18" s="184">
        <f t="shared" si="15"/>
        <v>4</v>
      </c>
      <c r="AE18" s="184">
        <f t="shared" si="15"/>
        <v>4</v>
      </c>
      <c r="AF18" s="184">
        <f t="shared" si="15"/>
        <v>2</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502</v>
      </c>
      <c r="AZ18" s="184">
        <f>SUBTOTAL(9,AZ14:AZ17)</f>
        <v>299</v>
      </c>
      <c r="BA18" s="184">
        <f>SUBTOTAL(9,BA14:BA17)</f>
        <v>250</v>
      </c>
      <c r="BB18" s="184">
        <f>SUBTOTAL(9,BB14:BB17)</f>
        <v>554</v>
      </c>
      <c r="BC18" s="184">
        <f>SUBTOTAL(9,BC14:BC17)</f>
        <v>44</v>
      </c>
      <c r="BD18" s="205">
        <f>IF(ISNUMBER(BA18/AZ18),BA18/AZ18," - ")</f>
        <v>0.83612040133779264</v>
      </c>
      <c r="BE18" s="206">
        <f>IF(ISNUMBER(BB18/BA18),BB18/BA18, " - ")</f>
        <v>2.2160000000000002</v>
      </c>
      <c r="BF18" s="206">
        <f>IF(ISNUMBER(BC18/BA18),BC18/BA18, " - ")</f>
        <v>0.17599999999999999</v>
      </c>
      <c r="BG18" s="207">
        <f>IF(ISNUMBER((AY18+AZ18)/BA18),(AY18+AZ18)/BA18," - ")</f>
        <v>3.2040000000000002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1579</v>
      </c>
      <c r="J19" s="134">
        <f t="shared" si="18"/>
        <v>559</v>
      </c>
      <c r="K19" s="134">
        <f t="shared" si="18"/>
        <v>624</v>
      </c>
      <c r="L19" s="134">
        <f t="shared" si="18"/>
        <v>1519</v>
      </c>
      <c r="M19" s="134">
        <f t="shared" si="18"/>
        <v>114</v>
      </c>
      <c r="N19" s="134">
        <f t="shared" si="18"/>
        <v>292</v>
      </c>
      <c r="O19" s="134">
        <f t="shared" si="18"/>
        <v>179</v>
      </c>
      <c r="P19" s="134">
        <f t="shared" si="18"/>
        <v>107</v>
      </c>
      <c r="Q19" s="134">
        <f t="shared" si="18"/>
        <v>94</v>
      </c>
      <c r="R19" s="134">
        <f t="shared" si="18"/>
        <v>1537</v>
      </c>
      <c r="S19" s="134">
        <f t="shared" si="18"/>
        <v>1396</v>
      </c>
      <c r="T19" s="134">
        <f t="shared" si="18"/>
        <v>691</v>
      </c>
      <c r="U19" s="134">
        <f t="shared" si="18"/>
        <v>459</v>
      </c>
      <c r="V19" s="134">
        <f t="shared" si="18"/>
        <v>1631</v>
      </c>
      <c r="W19" s="134">
        <f t="shared" si="18"/>
        <v>108</v>
      </c>
      <c r="X19" s="134">
        <f t="shared" si="18"/>
        <v>181</v>
      </c>
      <c r="Y19" s="134">
        <f t="shared" si="18"/>
        <v>27</v>
      </c>
      <c r="Z19" s="134">
        <f t="shared" si="18"/>
        <v>14</v>
      </c>
      <c r="AA19" s="134">
        <f t="shared" si="18"/>
        <v>24</v>
      </c>
      <c r="AB19" s="134">
        <f t="shared" si="18"/>
        <v>17</v>
      </c>
      <c r="AC19" s="134">
        <f t="shared" si="18"/>
        <v>2</v>
      </c>
      <c r="AD19" s="134">
        <f t="shared" si="18"/>
        <v>4</v>
      </c>
      <c r="AE19" s="134">
        <f t="shared" si="18"/>
        <v>4</v>
      </c>
      <c r="AF19" s="134">
        <f t="shared" si="18"/>
        <v>2</v>
      </c>
      <c r="AG19" s="134">
        <f t="shared" si="18"/>
        <v>43</v>
      </c>
      <c r="AH19" s="134">
        <f t="shared" si="18"/>
        <v>36</v>
      </c>
      <c r="AI19" s="134">
        <f t="shared" si="18"/>
        <v>40</v>
      </c>
      <c r="AJ19" s="134">
        <f t="shared" si="18"/>
        <v>39</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1439</v>
      </c>
      <c r="AZ19" s="134">
        <f>SUBTOTAL(9,AZ9:AZ18)</f>
        <v>727</v>
      </c>
      <c r="BA19" s="134">
        <f>SUBTOTAL(9,BA9:BA18)</f>
        <v>499</v>
      </c>
      <c r="BB19" s="134">
        <f>SUBTOTAL(9,BB9:BB18)</f>
        <v>1670</v>
      </c>
      <c r="BC19" s="135">
        <f>SUBTOTAL(9,BC9:BC18)</f>
        <v>130</v>
      </c>
      <c r="BD19" s="213">
        <f>IF(ISNUMBER(BA19/AZ19),BA19/AZ19," - ")</f>
        <v>0.68638239339752405</v>
      </c>
      <c r="BE19" s="210">
        <f>IF(ISNUMBER(BB19/BA19),BB19/BA19, " - ")</f>
        <v>3.3466933867735471</v>
      </c>
      <c r="BF19" s="210">
        <f>IF(ISNUMBER(BC19/BA19),BC19/BA19, " - ")</f>
        <v>0.26052104208416832</v>
      </c>
      <c r="BG19" s="135">
        <f>IF(ISNUMBER((AY19+AZ19)/BA19),(AY19+AZ19)/BA19," - ")</f>
        <v>4.3406813627254506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BZYMpJfYQN5/Px2KjBr7iTNtiR40+cG7059hkLHVGhB04X+vV1DVHPxWEo13hD7dGLYZlqgdFnZF4nZnPlfZg==" saltValue="bQjRCvuadNGyrvBNXfF5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dsWug+GH3kLlWzxcs6rSQOcbGjYHDVaG2xIJI6yDm55xtoRE8BQsr9kZUd6DYxYO4s+wp/GJBTHU24khBSCQ==" saltValue="ybyNd20eFGOS1C8tQQR1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1470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179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1.3076923076923077</v>
      </c>
      <c r="BH12" s="260">
        <f>IF(ISNUMBER(((IF(J_V="SI",Datos!L12/Datos!K12,(Datos!L12+Datos!AB12)/(Datos!K12+Datos!AA12)))*11)/factor_trimestre),((IF(J_V="SI",Datos!L12/Datos!K12,(Datos!L12+Datos!AB12)/(Datos!K12+Datos!AA12)))*11)/factor_trimestre," - ")</f>
        <v>4.9974424552429664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2.1542738012508687E-2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68</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1472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v>
      </c>
      <c r="BD13" s="899">
        <f t="shared" si="1"/>
        <v>179</v>
      </c>
      <c r="BE13" s="899">
        <f t="shared" si="1"/>
        <v>0</v>
      </c>
      <c r="BF13" s="899">
        <f t="shared" si="1"/>
        <v>0</v>
      </c>
      <c r="BG13" s="899">
        <f>IF(ISNUMBER(Datos!K13/Datos!J13),Datos!K13/Datos!J13," - ")</f>
        <v>1.2777777777777777</v>
      </c>
      <c r="BH13" s="903">
        <f>IF(ISNUMBER(((Datos!L13/Datos!K13)*11)/factor_trimestre),((Datos!L13/Datos!K13)*11)/factor_trimestre," - ")</f>
        <v>5.2282608695652177</v>
      </c>
      <c r="BI13" s="899">
        <f>IF(ISNUMBER('Resol  Asuntos'!D13/NºAsuntos!G13),'Resol  Asuntos'!D13/NºAsuntos!G13," - ")</f>
        <v>0.2066326530612245</v>
      </c>
      <c r="BJ13" s="899" t="str">
        <f>IF(ISNUMBER(Datos!CI13/Datos!CJ13),Datos!CI13/Datos!CJ13," - ")</f>
        <v xml:space="preserve"> - </v>
      </c>
      <c r="BK13" s="899">
        <f>SUBTOTAL(9,BK8:BK12)</f>
        <v>0</v>
      </c>
      <c r="BL13" s="899" t="str">
        <f>IF(ISNUMBER((I13-AB13+L13)/(F13)),(I13-AB13+L13)/(F13)," - ")</f>
        <v xml:space="preserve"> - </v>
      </c>
      <c r="BM13" s="904">
        <f>SUBTOTAL(9,BM9:BM12)</f>
        <v>2.1542738012508687E-2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494</v>
      </c>
      <c r="G16" s="598">
        <f>IF(ISNUMBER(IF(D_I="SI",Datos!I16,Datos!I16+Datos!AC16)),IF(D_I="SI",Datos!I16,Datos!I16+Datos!AC16)," - ")</f>
        <v>489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240</v>
      </c>
      <c r="AC16" s="226">
        <f>IF(ISNUMBER(Datos!Q16),Datos!Q16," - ")</f>
        <v>26</v>
      </c>
      <c r="AD16" s="334"/>
      <c r="AE16" s="484"/>
      <c r="AF16" s="596">
        <f>IF(ISNUMBER(IF(D_I="SI",Datos!L16,Datos!L16+Datos!AF16)),IF(D_I="SI",Datos!L16,Datos!L16+Datos!AF16)," - ")</f>
        <v>510</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102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0.9375</v>
      </c>
      <c r="BH16" s="260">
        <f>IF(ISNUMBER(((IF(D_I="SI",Datos!L16/Datos!K16,(Datos!L16+Datos!AF16)/(Datos!K16+Datos!AE16)))*11)/factor_trimestre),((IF(D_I="SI",Datos!L16/Datos!K16,(Datos!L16+Datos!AF16)/(Datos!K16+Datos!AE16)))*11)/factor_trimestre," - ")</f>
        <v>4.25</v>
      </c>
      <c r="BI16" s="243">
        <f>IF(ISNUMBER('Resol  Asuntos'!D16/NºAsuntos!G16),'Resol  Asuntos'!D16/NºAsuntos!G16," - ")</f>
        <v>0.125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47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1.0666666666666667</v>
      </c>
      <c r="BH17" s="260">
        <f>IF(ISNUMBER(((IF(D_I="SI",Datos!L17/Datos!K17,(Datos!L17+Datos!AF17)/(Datos!K17+Datos!AE17)))*11)/factor_trimestre),((IF(D_I="SI",Datos!L17/Datos!K17,(Datos!L17+Datos!AF17)/(Datos!K17+Datos!AE17)))*11)/factor_trimestre," - ")</f>
        <v>5.875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494</v>
      </c>
      <c r="G18" s="898">
        <f>SUBTOTAL(9,G15:G17)</f>
        <v>537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256</v>
      </c>
      <c r="AC18" s="899">
        <f t="shared" si="4"/>
        <v>26</v>
      </c>
      <c r="AD18" s="899">
        <f t="shared" si="4"/>
        <v>0</v>
      </c>
      <c r="AE18" s="899">
        <f t="shared" si="4"/>
        <v>0</v>
      </c>
      <c r="AF18" s="899">
        <f t="shared" si="4"/>
        <v>557</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113</v>
      </c>
      <c r="BE18" s="899">
        <f t="shared" si="4"/>
        <v>0</v>
      </c>
      <c r="BF18" s="899">
        <f t="shared" si="4"/>
        <v>0</v>
      </c>
      <c r="BG18" s="899">
        <f>IF(ISNUMBER(Datos!K18/Datos!J18),Datos!K18/Datos!J18," - ")</f>
        <v>0.94464944649446492</v>
      </c>
      <c r="BH18" s="903">
        <f>IF(ISNUMBER(((Datos!L18/Datos!K18)*11)/factor_trimestre),((Datos!L18/Datos!K18)*11)/factor_trimestre," - ")</f>
        <v>4.3515625</v>
      </c>
      <c r="BI18" s="899">
        <f>SUBTOTAL(9,BI15:BI17)</f>
        <v>0.3125</v>
      </c>
      <c r="BJ18" s="899">
        <f>SUBTOTAL(9,BJ15:BJ17)</f>
        <v>0</v>
      </c>
      <c r="BK18" s="899">
        <f>SUBTOTAL(9,BK15:BK17)</f>
        <v>0</v>
      </c>
      <c r="BL18" s="899">
        <f>IF(ISNUMBER((I18-AB18+L18)/(F18)),(I18-AB18+L18)/(F18)," - ")</f>
        <v>-0.51821862348178138</v>
      </c>
      <c r="BM18" s="905">
        <f>IF(ISNUMBER((Datos!P18-Datos!Q18)/(Datos!R18-Datos!P18+Datos!Q18)),(Datos!P18-Datos!Q18)/(Datos!R18-Datos!P18+Datos!Q18)," - ")</f>
        <v>-0.23529411764705882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494</v>
      </c>
      <c r="G19" s="820">
        <f t="shared" si="6"/>
        <v>537</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257</v>
      </c>
      <c r="AC19" s="821">
        <f t="shared" si="7"/>
        <v>94</v>
      </c>
      <c r="AD19" s="821">
        <f t="shared" si="7"/>
        <v>0</v>
      </c>
      <c r="AE19" s="821">
        <f t="shared" si="7"/>
        <v>0</v>
      </c>
      <c r="AF19" s="828">
        <f t="shared" si="7"/>
        <v>559</v>
      </c>
      <c r="AG19" s="828">
        <f t="shared" si="7"/>
        <v>0</v>
      </c>
      <c r="AH19" s="828">
        <f t="shared" si="7"/>
        <v>17</v>
      </c>
      <c r="AI19" s="828">
        <f t="shared" si="7"/>
        <v>0</v>
      </c>
      <c r="AJ19" s="821">
        <f t="shared" si="7"/>
        <v>0</v>
      </c>
      <c r="AK19" s="828">
        <f t="shared" si="7"/>
        <v>0</v>
      </c>
      <c r="AL19" s="828">
        <f t="shared" si="7"/>
        <v>0</v>
      </c>
      <c r="AM19" s="828">
        <f t="shared" si="7"/>
        <v>1537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v>
      </c>
      <c r="BD19" s="820">
        <f t="shared" si="7"/>
        <v>292</v>
      </c>
      <c r="BE19" s="820">
        <f t="shared" si="7"/>
        <v>0</v>
      </c>
      <c r="BF19" s="830">
        <f t="shared" si="7"/>
        <v>0</v>
      </c>
      <c r="BG19" s="915">
        <f>IF(ISNUMBER(Datos!K19/Datos!J19),Datos!K19/Datos!J19," - ")</f>
        <v>1.1162790697674418</v>
      </c>
      <c r="BH19" s="915">
        <f>IF(ISNUMBER(((Datos!L19/Datos!K19)*11)/factor_trimestre),((Datos!L19/Datos!K19)*11)/factor_trimestre," - ")</f>
        <v>4.8685897435897436</v>
      </c>
      <c r="BI19" s="813">
        <f>IF(ISNUMBER(Datos!J19/Datos!I19),Datos!J19/Datos!I19," - ")</f>
        <v>0.3540215326155795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-0.52024291497975705</v>
      </c>
      <c r="BM19" s="889">
        <f>IF(ISNUMBER((Datos!P19-Datos!Q19+R19)/(Datos!R19-Datos!P19+Datos!Q19-R19)),(Datos!P19-Datos!Q19+R19)/(Datos!R19-Datos!P19+Datos!Q19-R19)," - ")</f>
        <v>8.5301837270341206E-3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285.21103297967511</v>
      </c>
      <c r="G21" s="552">
        <f>IF(ISNUMBER(STDEV(G8:G18)),STDEV(G8:G18),"-")</f>
        <v>273.44962973096159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132.81076763576061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35.933271490361129</v>
      </c>
      <c r="BD21" s="551"/>
      <c r="BE21" s="551">
        <f>IF(ISNUMBER(STDEV(BE8:BE18)),STDEV(BE8:BE18),"-")</f>
        <v>0</v>
      </c>
      <c r="BF21" s="556">
        <f>IF(ISNUMBER(STDEV(BF8:BF18)),STDEV(BF8:BF18),"-")</f>
        <v>0</v>
      </c>
      <c r="BG21" s="775">
        <f>IF(ISNUMBER(STDEV(BG8:BG18)),STDEV(BG8:BG18),"-")</f>
        <v>0.35348921001436201</v>
      </c>
      <c r="BH21" s="776">
        <f>IF(ISNUMBER(STDEV(BH8:BH18)),STDEV(BH8:BH18),"-")</f>
        <v>0.70993240412112402</v>
      </c>
      <c r="BI21" s="249">
        <f>IF(ISNUMBER(STDEV(BI8:BI18)),STDEV(BI8:BI18),"-")</f>
        <v>7.795583343942826E-2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PN4BSVI9xsluNzjcuh0wRLCnl+NLci7LxcFy0y05tMnaLlgRUQmoj9oEvJvCSA1C55B3MgyaOEzsTGJf7QxQ==" saltValue="T9nHXtrt1LEoNrwYGF8r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v>
      </c>
      <c r="AA12" s="332" t="str">
        <f>IF(ISNUMBER(IF(J_V="SI",Datos!L12,Datos!L12+Datos!AB12)-IF(Monitorios="SI",Datos!CD12,0)),
                          IF(J_V="SI",Datos!L12,Datos!L12+Datos!AB12)-IF(Monitorios="SI",Datos!CD12,0),
                          " - ")</f>
        <v xml:space="preserve"> - </v>
      </c>
      <c r="AB12" s="334"/>
      <c r="AC12" s="334"/>
      <c r="AD12" s="484"/>
      <c r="AE12" s="484">
        <f>IF(ISNUMBER(Datos!R12),Datos!R12," - ")</f>
        <v>1470</v>
      </c>
      <c r="AF12" s="229" t="str">
        <f>IF(ISNUMBER(Datos!BV12),Datos!BV12," - ")</f>
        <v xml:space="preserve"> - </v>
      </c>
      <c r="AG12" s="225" t="str">
        <f>IF(ISNUMBER(Datos!DV12),Datos!DV12," - ")</f>
        <v xml:space="preserve"> - </v>
      </c>
      <c r="AH12" s="298"/>
      <c r="AI12" s="227"/>
      <c r="AJ12" s="225">
        <f>IF(ISNUMBER(Datos!M12),Datos!M12," - ")</f>
        <v>81</v>
      </c>
      <c r="AK12" s="229">
        <f>IF(ISNUMBER(Datos!N12),Datos!N12," - ")</f>
        <v>179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4.9974424552429664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2.1542738012508687E-2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68</v>
      </c>
      <c r="AA13" s="900">
        <f t="shared" si="2"/>
        <v>2</v>
      </c>
      <c r="AB13" s="900">
        <f t="shared" si="2"/>
        <v>0</v>
      </c>
      <c r="AC13" s="900">
        <f t="shared" si="2"/>
        <v>0</v>
      </c>
      <c r="AD13" s="900">
        <f t="shared" si="2"/>
        <v>0</v>
      </c>
      <c r="AE13" s="900">
        <f t="shared" si="2"/>
        <v>1472</v>
      </c>
      <c r="AF13" s="908">
        <f t="shared" si="2"/>
        <v>0</v>
      </c>
      <c r="AG13" s="908">
        <f t="shared" si="2"/>
        <v>0</v>
      </c>
      <c r="AH13" s="908">
        <f t="shared" si="2"/>
        <v>0</v>
      </c>
      <c r="AI13" s="908">
        <f t="shared" si="2"/>
        <v>0</v>
      </c>
      <c r="AJ13" s="908">
        <f t="shared" si="2"/>
        <v>81</v>
      </c>
      <c r="AK13" s="908">
        <f t="shared" si="2"/>
        <v>179</v>
      </c>
      <c r="AL13" s="908">
        <f t="shared" si="2"/>
        <v>0</v>
      </c>
      <c r="AM13" s="908">
        <f t="shared" si="2"/>
        <v>0</v>
      </c>
      <c r="AN13" s="908">
        <f t="shared" si="2"/>
        <v>0</v>
      </c>
      <c r="AO13" s="904">
        <f>IF(ISNUMBER(((NºAsuntos!I13/NºAsuntos!G13)*11)/factor_trimestre),((NºAsuntos!I13/NºAsuntos!G13)*11)/factor_trimestre," - ")</f>
        <v>4.9948979591836737</v>
      </c>
      <c r="AP13" s="910" t="str">
        <f>IF(ISNUMBER(Datos!CI13/Datos!CJ13),Datos!CI13/Datos!CJ13," - ")</f>
        <v xml:space="preserve"> - </v>
      </c>
      <c r="AQ13" s="928">
        <f t="shared" ref="AQ13:AV13" si="3">SUBTOTAL(9,AQ9:AQ12)</f>
        <v>0</v>
      </c>
      <c r="AR13" s="928">
        <f t="shared" si="3"/>
        <v>2.1542738012508687E-2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494</v>
      </c>
      <c r="G16" s="225">
        <f>IF(ISNUMBER(IF(D_I="SI",Datos!I16,Datos!I16+Datos!AC16)),IF(D_I="SI",Datos!I16,Datos!I16+Datos!AC16)," - ")</f>
        <v>489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240</v>
      </c>
      <c r="Z16" s="619">
        <f>IF(ISNUMBER(Datos!Q16),Datos!Q16," - ")</f>
        <v>26</v>
      </c>
      <c r="AA16" s="332">
        <f>IF(ISNUMBER(IF(D_I="SI",Datos!L16,Datos!L16+Datos!AF16)),IF(D_I="SI",Datos!L16,Datos!L16+Datos!AF16)," - ")</f>
        <v>510</v>
      </c>
      <c r="AB16" s="334"/>
      <c r="AC16" s="334"/>
      <c r="AD16" s="484"/>
      <c r="AE16" s="484">
        <f>IF(ISNUMBER(Datos!R16),Datos!R16," - ")</f>
        <v>65</v>
      </c>
      <c r="AF16" s="229" t="str">
        <f>IF(ISNUMBER(Datos!BV16),Datos!BV16," - ")</f>
        <v xml:space="preserve"> - </v>
      </c>
      <c r="AG16" s="225"/>
      <c r="AH16" s="298"/>
      <c r="AI16" s="227"/>
      <c r="AJ16" s="225">
        <f>IF(ISNUMBER(Datos!M16),Datos!M16," - ")</f>
        <v>30</v>
      </c>
      <c r="AK16" s="229">
        <f>IF(ISNUMBER(Datos!N16),Datos!N16," - ")</f>
        <v>102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47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494</v>
      </c>
      <c r="G18" s="898">
        <f>SUBTOTAL(9,G15:G17)</f>
        <v>537</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256</v>
      </c>
      <c r="Z18" s="932">
        <f t="shared" si="5"/>
        <v>26</v>
      </c>
      <c r="AA18" s="932">
        <f t="shared" si="5"/>
        <v>557</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33</v>
      </c>
      <c r="AK18" s="932">
        <f t="shared" si="5"/>
        <v>113</v>
      </c>
      <c r="AL18" s="932">
        <f t="shared" si="5"/>
        <v>0</v>
      </c>
      <c r="AM18" s="932">
        <f t="shared" si="5"/>
        <v>0</v>
      </c>
      <c r="AN18" s="932">
        <f t="shared" si="5"/>
        <v>0</v>
      </c>
      <c r="AO18" s="934">
        <f>IF(ISNUMBER(((NºAsuntos!I18/NºAsuntos!G18)*11)/factor_trimestre),((NºAsuntos!I18/NºAsuntos!G18)*11)/factor_trimestre," - ")</f>
        <v>4.3515625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494</v>
      </c>
      <c r="G19" s="820">
        <f t="shared" si="7"/>
        <v>537</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257</v>
      </c>
      <c r="Z19" s="827">
        <f t="shared" si="8"/>
        <v>94</v>
      </c>
      <c r="AA19" s="828">
        <f t="shared" si="8"/>
        <v>559</v>
      </c>
      <c r="AB19" s="828">
        <f t="shared" si="8"/>
        <v>0</v>
      </c>
      <c r="AC19" s="828">
        <f t="shared" si="8"/>
        <v>0</v>
      </c>
      <c r="AD19" s="829">
        <f t="shared" si="8"/>
        <v>0</v>
      </c>
      <c r="AE19" s="829">
        <f t="shared" si="8"/>
        <v>1537</v>
      </c>
      <c r="AF19" s="830">
        <f t="shared" si="8"/>
        <v>0</v>
      </c>
      <c r="AG19" s="831">
        <f t="shared" si="8"/>
        <v>0</v>
      </c>
      <c r="AH19" s="832">
        <f t="shared" si="8"/>
        <v>0</v>
      </c>
      <c r="AI19" s="830">
        <f t="shared" si="8"/>
        <v>0</v>
      </c>
      <c r="AJ19" s="820">
        <f t="shared" si="8"/>
        <v>114</v>
      </c>
      <c r="AK19" s="820">
        <f t="shared" si="8"/>
        <v>292</v>
      </c>
      <c r="AL19" s="820">
        <f t="shared" si="8"/>
        <v>0</v>
      </c>
      <c r="AM19" s="833">
        <f t="shared" si="8"/>
        <v>0</v>
      </c>
      <c r="AN19" s="823">
        <f>IF(ISNUMBER(Datos!K19/Datos!J19),Datos!K19/Datos!J19," - ")</f>
        <v>1.1162790697674418</v>
      </c>
      <c r="AO19" s="823">
        <f>IF(ISNUMBER(FIND("06",Criterios!A8,1)),(IF(ISNUMBER(((Datos!R19/Datos!Q19)*11)/factor_trimestre),((Datos!R19/Datos!Q19)*11)/factor_trimestre," - ")),(IF(ISNUMBER(((Datos!L19/Datos!K19)*11)/factor_trimestre),((Datos!L19/Datos!K19)*11)/factor_trimestre," - ")))</f>
        <v>4.8685897435897436</v>
      </c>
      <c r="AP19" s="834" t="str">
        <f>IF(ISNUMBER(Datos!CI19/Datos!CJ19),Datos!CI19/Datos!CJ19," - ")</f>
        <v xml:space="preserve"> - </v>
      </c>
      <c r="AQ19" s="834">
        <f>IF(OR(ISNUMBER(FIND("01",Criterios!A8,1)),ISNUMBER(FIND("02",Criterios!A8,1)),ISNUMBER(FIND("03",Criterios!A8,1)),ISNUMBER(FIND("04",Criterios!A8,1))),(J19-Y19+K19)/(F19-K19),(I19-Y19+K19)/(F19-K19))</f>
        <v>-0.52024291497975705</v>
      </c>
      <c r="AR19" s="834">
        <f>IF(ISNUMBER((Datos!P19-Datos!Q19+O19)/(Datos!R19-Datos!P19+Datos!Q19-O19)),(Datos!P19-Datos!Q19+O19)/(Datos!R19-Datos!P19+Datos!Q19-O19)," - ")</f>
        <v>8.5301837270341206E-3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285.21103297967511</v>
      </c>
      <c r="G21" s="552">
        <f>IF(ISNUMBER(STDEV(G8:G18)),STDEV(G8:G18),"-")</f>
        <v>273.44962973096159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35.933271490361129</v>
      </c>
      <c r="AK21" s="252"/>
      <c r="AL21" s="252">
        <f>IF(ISNUMBER(STDEV(AL8:AL18)),STDEV(AL8:AL18),"-")</f>
        <v>0</v>
      </c>
      <c r="AM21" s="254">
        <f>IF(ISNUMBER(STDEV(AM8:AM18)),STDEV(AM8:AM18),"-")</f>
        <v>0</v>
      </c>
      <c r="AN21" s="539">
        <f>IF(ISNUMBER(STDEV(AN8:AN18)),STDEV(AN8:AN18),"-")</f>
        <v>0</v>
      </c>
      <c r="AO21" s="540">
        <f>IF(ISNUMBER(STDEV(AO8:AO18)),STDEV(AO8:AO18),"-")</f>
        <v>0.68671960056781089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X7OxI3Wgcig0Ysrg4mmB4rp5Stsq5iJGzmiPUNIjdeIwb1Adu1y60WXfW7EqEuK8hgY0+wn6hBmEURt57z3BA==" saltValue="mgH3/HdZMbMjN0Nm8DG1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U3zypZJ35BA49KeX+iq8Ip865WjhpLcEsNCh2WAq0BFQyoosjlwDVH0L11eWTKJWGTxaWtRP+TQ+8WoW2+Ozg==" saltValue="iiIZHviKFHP8XMmDRUM7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M48c5HY/lZ+B1ltaBzwNdA0VI5brSgWtwvMhrxuHtsYY9CzzE0Ok25CP3p/TvRm0uTEk8YHgWht9zV6aukVig==" saltValue="jFHbybZLexUuf0tyFwbs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0.2066326530612245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0.14611135019415905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mHENYT9uiCDZ73/cgXh9Sjcr0ofSCrFA3Mm8zrYQ8E66I4WVxFrJluRaeT1whVvcJNpA5g4Wwd7vwnGl3GSJw==" saltValue="xejOJhbict5Fs2T6to0b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cPcjP7zW5z/cK//q0tQcNSGBdTcmCcVEtkgNtilrSDn+Cfgm0C8ekT4UmR3w9XF5XJVrbK7qZxMPoIiLIOndw==" saltValue="q3oCqMqKHnjjJJmBu7kQ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HARO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3</v>
      </c>
      <c r="F10" s="404">
        <f>IF(ISNUMBER(E10/B10),E10/B10," - ")</f>
        <v>3</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1069</v>
      </c>
      <c r="D12" s="404">
        <f>IF(ISNUMBER(C12/Datos!BH12),C12/Datos!BH12," - ")</f>
        <v>534.5</v>
      </c>
      <c r="E12" s="403">
        <f>IF(ISNUMBER(IF(J_V="SI",Datos!J12,Datos!J12+Datos!Z12)),IF(J_V="SI",Datos!J12,Datos!J12+Datos!Z12)," - ")</f>
        <v>299</v>
      </c>
      <c r="F12" s="404">
        <f>IF(ISNUMBER(E12/B12),E12/B12," - ")</f>
        <v>149.5</v>
      </c>
      <c r="G12" s="403">
        <f>IF(ISNUMBER(IF(J_V="SI",Datos!K12,Datos!K12+Datos!AA12)),IF(J_V="SI",Datos!K12,Datos!K12+Datos!AA12)," - ")</f>
        <v>391</v>
      </c>
      <c r="H12" s="404">
        <f>IF(ISNUMBER(G12/B12),G12/B12," - ")</f>
        <v>195.5</v>
      </c>
      <c r="I12" s="403">
        <f>IF(ISNUMBER(IF(J_V="SI",Datos!L12,Datos!L12+Datos!AB12)),IF(J_V="SI",Datos!L12,Datos!L12+Datos!AB12)," - ")</f>
        <v>977</v>
      </c>
      <c r="J12" s="404">
        <f>IF(ISNUMBER(I12/B12),I12/B12," - ")</f>
        <v>488.5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1069</v>
      </c>
      <c r="D13" s="850" t="str">
        <f>IF(ISNUMBER(C13/Datos!BI13),C13/Datos!BI13," - ")</f>
        <v xml:space="preserve"> - </v>
      </c>
      <c r="E13" s="849">
        <f>SUBTOTAL(9,E8:E12)</f>
        <v>302</v>
      </c>
      <c r="F13" s="850">
        <f>IF(ISNUMBER(E13/B13),E13/B13," - ")</f>
        <v>151</v>
      </c>
      <c r="G13" s="849">
        <f>SUBTOTAL(9,G8:G12)</f>
        <v>392</v>
      </c>
      <c r="H13" s="850">
        <f>IF(ISNUMBER(G13/B13),G13/B13," - ")</f>
        <v>196</v>
      </c>
      <c r="I13" s="849">
        <f>SUBTOTAL(9,I8:I12)</f>
        <v>979</v>
      </c>
      <c r="J13" s="850">
        <f>IF(ISNUMBER(I13/B13),I13/B13," - ")</f>
        <v>489.5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489</v>
      </c>
      <c r="D16" s="404">
        <f>IF(ISNUMBER(C16/Datos!BH16),C16/Datos!BH16," - ")</f>
        <v>244.5</v>
      </c>
      <c r="E16" s="403">
        <f>IF(ISNUMBER(IF(D_I="SI",Datos!J16,Datos!J16+Datos!AD16)),IF(D_I="SI",Datos!J16,Datos!J16+Datos!AD16)," - ")</f>
        <v>256</v>
      </c>
      <c r="F16" s="404">
        <f>IF(ISNUMBER(E16/B16),E16/B16," - ")</f>
        <v>128</v>
      </c>
      <c r="G16" s="403">
        <f>IF(ISNUMBER(IF(D_I="SI",Datos!K16,Datos!K16+Datos!AE16)),IF(D_I="SI",Datos!K16,Datos!K16+Datos!AE16)," - ")</f>
        <v>240</v>
      </c>
      <c r="H16" s="404">
        <f>IF(ISNUMBER(G16/B16),G16/B16," - ")</f>
        <v>120</v>
      </c>
      <c r="I16" s="403">
        <f>IF(ISNUMBER(IF(D_I="SI",Datos!L16,Datos!L16+Datos!AF16)),IF(D_I="SI",Datos!L16,Datos!L16+Datos!AF16)," - ")</f>
        <v>510</v>
      </c>
      <c r="J16" s="404">
        <f>IF(ISNUMBER(I16/B16),I16/B16," - ")</f>
        <v>255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15</v>
      </c>
      <c r="F17" s="404">
        <f>IF(ISNUMBER(E17/B17),E17/B17," - ")</f>
        <v>15</v>
      </c>
      <c r="G17" s="403">
        <f>IF(ISNUMBER(IF(D_I="SI",Datos!K17,Datos!K17+Datos!AE17)),IF(D_I="SI",Datos!K17,Datos!K17+Datos!AE17)," - ")</f>
        <v>16</v>
      </c>
      <c r="H17" s="404">
        <f>IF(ISNUMBER(G17/B17),G17/B17," - ")</f>
        <v>16</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537</v>
      </c>
      <c r="D18" s="850" t="str">
        <f>IF(ISNUMBER(C18/Datos!BI18),C18/Datos!BI18," - ")</f>
        <v xml:space="preserve"> - </v>
      </c>
      <c r="E18" s="849">
        <f>SUBTOTAL(9,E14:E17)</f>
        <v>271</v>
      </c>
      <c r="F18" s="850">
        <f>IF(ISNUMBER(E18/B18),E18/B18," - ")</f>
        <v>135.5</v>
      </c>
      <c r="G18" s="849">
        <f>SUBTOTAL(9,G14:G17)</f>
        <v>256</v>
      </c>
      <c r="H18" s="850">
        <f>IF(ISNUMBER(G18/B18),G18/B18," - ")</f>
        <v>128</v>
      </c>
      <c r="I18" s="849">
        <f>SUBTOTAL(9,I14:I17)</f>
        <v>557</v>
      </c>
      <c r="J18" s="850">
        <f>IF(ISNUMBER(I18/B18),I18/B18," - ")</f>
        <v>278.5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1606</v>
      </c>
      <c r="D19" s="795" t="str">
        <f>IF(ISNUMBER(C19/Datos!BI19),C19/Datos!BI19," - ")</f>
        <v xml:space="preserve"> - </v>
      </c>
      <c r="E19" s="794">
        <f>SUBTOTAL(9,E9:E18)</f>
        <v>573</v>
      </c>
      <c r="F19" s="795">
        <f>IF(ISNUMBER(E19/B19),E19/B19," - ")</f>
        <v>286.5</v>
      </c>
      <c r="G19" s="794">
        <f>SUBTOTAL(9,G9:G18)</f>
        <v>648</v>
      </c>
      <c r="H19" s="795">
        <f>IF(ISNUMBER(G19/B19),G19/B19," - ")</f>
        <v>324</v>
      </c>
      <c r="I19" s="794">
        <f>SUBTOTAL(9,I9:I18)</f>
        <v>1536</v>
      </c>
      <c r="J19" s="795">
        <f>IF(ISNUMBER(I19/B19),I19/B19," - ")</f>
        <v>768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HJSN2F3vGqdcsr/JfCqP2IjMUbNcf2rWXdmG9BkxNvI25cVlcfJuWG23MX8gCYZJ6YTwXKs/GzOnNZ4GUAXzw==" saltValue="UK4V5S7wAfsDra2dRU7x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179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4.9974424552429664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2.1542738012508687E-2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68</v>
      </c>
      <c r="AE13" s="939">
        <f t="shared" si="1"/>
        <v>0</v>
      </c>
      <c r="AF13" s="939">
        <f t="shared" si="1"/>
        <v>2</v>
      </c>
      <c r="AG13" s="939">
        <f t="shared" si="1"/>
        <v>0</v>
      </c>
      <c r="AH13" s="939">
        <f t="shared" si="1"/>
        <v>1470</v>
      </c>
      <c r="AI13" s="939">
        <f t="shared" si="1"/>
        <v>0</v>
      </c>
      <c r="AJ13" s="939">
        <f t="shared" si="1"/>
        <v>0</v>
      </c>
      <c r="AK13" s="939">
        <f t="shared" si="1"/>
        <v>0</v>
      </c>
      <c r="AL13" s="939">
        <f t="shared" si="1"/>
        <v>81</v>
      </c>
      <c r="AM13" s="939">
        <f t="shared" si="1"/>
        <v>179</v>
      </c>
      <c r="AN13" s="939">
        <f t="shared" si="1"/>
        <v>0</v>
      </c>
      <c r="AO13" s="939">
        <f t="shared" si="1"/>
        <v>0</v>
      </c>
      <c r="AP13" s="944">
        <f>IF(ISNUMBER(((Datos!L13/Datos!K13)*11)/factor_trimestre),((Datos!L13/Datos!K13)*11)/factor_trimestre," - ")</f>
        <v>5.2282608695652177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2.1542738012508687E-2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4.3515625</v>
      </c>
      <c r="AQ18" s="944">
        <f>IF(ISNUMBER(((Datos!M18/Datos!L18)*11)/factor_trimestre),((Datos!M18/Datos!L18)*11)/factor_trimestre," - ")</f>
        <v>0.118491921005386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-0.23529411764705882</v>
      </c>
      <c r="AW18" s="946">
        <f>IF(ISNUMBER((Datos!Q18-Datos!R18)/(Datos!S18-Datos!Q18+Datos!R18)),(Datos!Q18-Datos!R18)/(Datos!S18-Datos!Q18+Datos!R18)," - ")</f>
        <v>-7.2088724584103508E-2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68</v>
      </c>
      <c r="AE19" s="957">
        <f t="shared" si="5"/>
        <v>0</v>
      </c>
      <c r="AF19" s="958">
        <f t="shared" si="5"/>
        <v>2</v>
      </c>
      <c r="AG19" s="958">
        <f t="shared" si="5"/>
        <v>0</v>
      </c>
      <c r="AH19" s="958">
        <f t="shared" si="5"/>
        <v>1470</v>
      </c>
      <c r="AI19" s="958">
        <f t="shared" si="5"/>
        <v>0</v>
      </c>
      <c r="AJ19" s="959">
        <f t="shared" si="5"/>
        <v>0</v>
      </c>
      <c r="AK19" s="959">
        <f t="shared" si="5"/>
        <v>0</v>
      </c>
      <c r="AL19" s="951">
        <f t="shared" si="5"/>
        <v>81</v>
      </c>
      <c r="AM19" s="951">
        <f t="shared" si="5"/>
        <v>179</v>
      </c>
      <c r="AN19" s="951">
        <f t="shared" si="5"/>
        <v>0</v>
      </c>
      <c r="AO19" s="951">
        <f t="shared" si="5"/>
        <v>0</v>
      </c>
      <c r="AP19" s="951">
        <f>IF(ISNUMBER(((Datos!L19/Datos!K19)*11)/factor_trimestre),((Datos!L19/Datos!K19)*11)/factor_trimestre," - ")</f>
        <v>4.8685897435897436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8.5301837270341206E-3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46.765371804359688</v>
      </c>
      <c r="AM21" s="736"/>
      <c r="AN21" s="736">
        <f>IF(ISNUMBER(STDEV(AN8:AN18)),STDEV(AN8:AN18),"-")</f>
        <v>0</v>
      </c>
      <c r="AO21" s="742">
        <f>IF(ISNUMBER(STDEV(AO8:AO18)),STDEV(AO8:AO18),"-")</f>
        <v>0</v>
      </c>
      <c r="AP21" s="779">
        <f>IF(ISNUMBER(STDEV(AP8:AP18)),STDEV(AP8:AP18),"-")</f>
        <v>0.56760832261382121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Wr30Iz7JIWdUAEY6n09Eq1wqv5XOTXhikzkoM4+1fYuKc6nRwe+8bcLSqz1UbRDol5CWLEqOJ3cEnadGdMWkw==" saltValue="RSZMZGSiFFekQ7xYOvOE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wYiJNsJGrOvvGgdQirmo1qs6nWohotI3QWKsyUSlskG3KOD9UQrvNia94yMRoayrYSBGGEhoqNdOMWPW05p+w==" saltValue="hknsMJpCM6QfGiIL7hP8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HARO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179</v>
      </c>
      <c r="G12" s="404">
        <f t="shared" si="1"/>
        <v>89.5</v>
      </c>
      <c r="H12" s="403">
        <f>IF(ISNUMBER(Datos!O12),Datos!O12," - ")</f>
        <v>158</v>
      </c>
      <c r="I12" s="404">
        <f t="shared" si="2"/>
        <v>79</v>
      </c>
      <c r="BZ12" s="1186">
        <f>Datos!EZ12</f>
        <v>0</v>
      </c>
    </row>
    <row r="13" spans="1:78" ht="14.25" thickTop="1" thickBot="1">
      <c r="A13" s="848" t="str">
        <f>Datos!A13</f>
        <v>TOTAL</v>
      </c>
      <c r="B13" s="849">
        <f>Datos!AP13</f>
        <v>2</v>
      </c>
      <c r="C13" s="851">
        <f>Datos!AR13</f>
        <v>2</v>
      </c>
      <c r="D13" s="849">
        <f>SUBTOTAL(9,D9:D12)</f>
        <v>81</v>
      </c>
      <c r="E13" s="850">
        <f t="shared" si="0"/>
        <v>40.5</v>
      </c>
      <c r="F13" s="849">
        <f>SUBTOTAL(9,F9:F12)</f>
        <v>179</v>
      </c>
      <c r="G13" s="850">
        <f t="shared" si="1"/>
        <v>89.5</v>
      </c>
      <c r="H13" s="849">
        <f>SUBTOTAL(9,H9:H12)</f>
        <v>158</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102</v>
      </c>
      <c r="G16" s="404">
        <f t="shared" si="4"/>
        <v>51</v>
      </c>
      <c r="H16" s="403">
        <f>IF(ISNUMBER(Datos!O16),Datos!O16," - ")</f>
        <v>21</v>
      </c>
      <c r="I16" s="404">
        <f t="shared" si="5"/>
        <v>10.5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v>
      </c>
      <c r="E18" s="850">
        <f t="shared" si="3"/>
        <v>16.5</v>
      </c>
      <c r="F18" s="849">
        <f>SUBTOTAL(9,F15:F17)</f>
        <v>113</v>
      </c>
      <c r="G18" s="850">
        <f t="shared" si="4"/>
        <v>56.5</v>
      </c>
      <c r="H18" s="849">
        <f>SUBTOTAL(9,H15:H17)</f>
        <v>21</v>
      </c>
      <c r="I18" s="850">
        <f>IF(ISNUMBER(H18/B18),H18/B18," - ")</f>
        <v>10.5</v>
      </c>
      <c r="BZ18" s="1186"/>
    </row>
    <row r="19" spans="1:78" ht="14.25" thickTop="1" thickBot="1">
      <c r="A19" s="793" t="str">
        <f>Datos!A19</f>
        <v>TOTAL JURISDICCIONES</v>
      </c>
      <c r="B19" s="794">
        <f>Datos!AP19</f>
        <v>2</v>
      </c>
      <c r="C19" s="794">
        <f>Datos!AR19</f>
        <v>2</v>
      </c>
      <c r="D19" s="794">
        <f>SUBTOTAL(9,D8:D18)</f>
        <v>114</v>
      </c>
      <c r="E19" s="795">
        <f>IF(ISNUMBER(D19/B19),D19/B19," - ")</f>
        <v>57</v>
      </c>
      <c r="F19" s="794">
        <f>SUBTOTAL(9,F8:F18)</f>
        <v>292</v>
      </c>
      <c r="G19" s="795">
        <f>IF(ISNUMBER(F19/B19),F19/B19," - ")</f>
        <v>146</v>
      </c>
      <c r="H19" s="794">
        <f>SUBTOTAL(9,H8:H18)</f>
        <v>179</v>
      </c>
      <c r="I19" s="795">
        <f>IF(ISNUMBER(H19/B19),H19/B19," - ")</f>
        <v>89.5</v>
      </c>
    </row>
    <row r="22" spans="1:78">
      <c r="A22" s="391" t="str">
        <f>Criterios!A4</f>
        <v>Fecha Informe: 29 nov. 2024</v>
      </c>
    </row>
    <row r="27" spans="1:78">
      <c r="A27" s="414"/>
    </row>
  </sheetData>
  <sheetProtection algorithmName="SHA-512" hashValue="nPIyQTcCHb1TZGR5phX8IILfPpgRoGmCXmHzZzwv7NuQQ0MkIoR7teNuQfIbZBXEuVIoRHFdF6PiN5abzLHkyw==" saltValue="15nGmWFLY//Hzkxdvp16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68</v>
      </c>
      <c r="D12" s="408">
        <f>IF(ISNUMBER(Datos!R12),Datos!R12," - ")</f>
        <v>1470</v>
      </c>
    </row>
    <row r="13" spans="1:4" ht="14.25" thickTop="1" thickBot="1">
      <c r="A13" s="848" t="str">
        <f>Datos!A13</f>
        <v>TOTAL</v>
      </c>
      <c r="B13" s="849">
        <f>SUBTOTAL(9,B9:B12)</f>
        <v>101</v>
      </c>
      <c r="C13" s="853">
        <f>SUBTOTAL(9,C9:C12)</f>
        <v>68</v>
      </c>
      <c r="D13" s="851">
        <f>SUBTOTAL(9,D9:D12)</f>
        <v>1472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26</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26</v>
      </c>
      <c r="D18" s="851">
        <f>SUBTOTAL(9,D15:D17)</f>
        <v>65</v>
      </c>
    </row>
    <row r="19" spans="1:4" ht="16.5" customHeight="1" thickTop="1" thickBot="1">
      <c r="A19" s="793" t="str">
        <f>Datos!A19</f>
        <v>TOTAL JURISDICCIONES</v>
      </c>
      <c r="B19" s="798">
        <f>SUBTOTAL(9,B8:B18)</f>
        <v>107</v>
      </c>
      <c r="C19" s="799">
        <f>SUBTOTAL(9,C8:C18)</f>
        <v>94</v>
      </c>
      <c r="D19" s="800">
        <f>SUBTOTAL(9,D8:D18)</f>
        <v>1537</v>
      </c>
    </row>
    <row r="20" spans="1:4" ht="7.5" customHeight="1"/>
    <row r="21" spans="1:4" ht="6" customHeight="1"/>
    <row r="22" spans="1:4">
      <c r="A22" s="391" t="str">
        <f>Criterios!A4</f>
        <v>Fecha Informe: 29 nov. 2024</v>
      </c>
    </row>
    <row r="27" spans="1:4">
      <c r="A27" s="414"/>
    </row>
  </sheetData>
  <sheetProtection algorithmName="SHA-512" hashValue="MhY/EAf1Lc+FGPDCr1JRD6ONVSiVnJVbBs1kpdswFH1yjZSdKNLMFfaie5yNsGP8RblfZQLmfzGBVF3pxm6l1A==" saltValue="no8MuuXldPG7EGUKaEOr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0.14087513340448238</v>
      </c>
      <c r="C12" s="456">
        <f>IF(ISNUMBER(
   IF(J_V="SI",(Datos!J12-Datos!T12)/Datos!T12,(Datos!J12+Datos!Z12-(Datos!T12+Datos!AH12))/(Datos!T12+Datos!AH12))
     ),IF(J_V="SI",(Datos!J12-Datos!T12)/Datos!T12,(Datos!J12+Datos!Z12-(Datos!T12+Datos!AH12))/(Datos!T12+Datos!AH12))," - ")</f>
        <v>-0.30140186915887851</v>
      </c>
      <c r="D12" s="456">
        <f>IF(ISNUMBER(
   IF(J_V="SI",(Datos!K12-Datos!U12)/Datos!U12,(Datos!K12+Datos!AA12-(Datos!U12+Datos!AI12))/(Datos!U12+Datos!AI12))
     ),IF(J_V="SI",(Datos!K12-Datos!U12)/Datos!U12,(Datos!K12+Datos!AA12-(Datos!U12+Datos!AI12))/(Datos!U12+Datos!AI12))," - ")</f>
        <v>0.57028112449799195</v>
      </c>
      <c r="E12" s="456">
        <f>IF(ISNUMBER(
   IF(J_V="SI",(Datos!L12-Datos!V12)/Datos!V12,(Datos!L12+Datos!AB12-(Datos!V12+Datos!AJ12))/(Datos!V12+Datos!AJ12))
     ),IF(J_V="SI",(Datos!L12-Datos!V12)/Datos!V12,(Datos!L12+Datos!AB12-(Datos!V12+Datos!AJ12))/(Datos!V12+Datos!AJ12))," - ")</f>
        <v>-0.12455197132616487</v>
      </c>
      <c r="F12" s="456">
        <f>IF(ISNUMBER((Datos!M12-Datos!W12)/Datos!W12),(Datos!M12-Datos!W12)/Datos!W12," - ")</f>
        <v>0.265625</v>
      </c>
      <c r="G12" s="457">
        <f>IF(ISNUMBER((Datos!N12-Datos!X12)/Datos!X12),(Datos!N12-Datos!X12)/Datos!X12," - ")</f>
        <v>1.0813953488372092</v>
      </c>
      <c r="H12" s="455">
        <f>IF(ISNUMBER(((NºAsuntos!G12/NºAsuntos!E12)-Datos!BD12)/Datos!BD12),((NºAsuntos!G12/NºAsuntos!E12)-Datos!BD12)/Datos!BD12," - ")</f>
        <v>1.2477602718566576</v>
      </c>
      <c r="I12" s="456">
        <f>IF(ISNUMBER(((NºAsuntos!I12/NºAsuntos!G12)-Datos!BE12)/Datos!BE12),((NºAsuntos!I12/NºAsuntos!G12)-Datos!BE12)/Datos!BE12," - ")</f>
        <v>-0.44248961856832497</v>
      </c>
      <c r="J12" s="461">
        <f>IF(ISNUMBER((('Resol  Asuntos'!D12/NºAsuntos!G12)-Datos!BF12)/Datos!BF12),(('Resol  Asuntos'!D12/NºAsuntos!G12)-Datos!BF12)/Datos!BF12," - ")</f>
        <v>-0.40019627669065605</v>
      </c>
      <c r="K12" s="462">
        <f>IF(ISNUMBER((((NºAsuntos!C12+NºAsuntos!E12)/NºAsuntos!G12)-Datos!BG12)/Datos!BG12),(((NºAsuntos!C12+NºAsuntos!E12)/NºAsuntos!G12)-Datos!BG12)/Datos!BG12," - ")</f>
        <v>-0.36177173210421293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0.14087513340448238</v>
      </c>
      <c r="C13" s="855">
        <f>IF(ISNUMBER(
   IF(J_V="SI",(Datos!J13-Datos!T13)/Datos!T13,(Datos!J13+Datos!Z13-(Datos!T13+Datos!AH13))/(Datos!T13+Datos!AH13))
     ),IF(J_V="SI",(Datos!J13-Datos!T13)/Datos!T13,(Datos!J13+Datos!Z13-(Datos!T13+Datos!AH13))/(Datos!T13+Datos!AH13))," - ")</f>
        <v>-0.29439252336448596</v>
      </c>
      <c r="D13" s="855">
        <f>IF(ISNUMBER(
   IF(J_V="SI",(Datos!K13-Datos!U13)/Datos!U13,(Datos!K13+Datos!AA13-(Datos!U13+Datos!AI13))/(Datos!U13+Datos!AI13))
     ),IF(J_V="SI",(Datos!K13-Datos!U13)/Datos!U13,(Datos!K13+Datos!AA13-(Datos!U13+Datos!AI13))/(Datos!U13+Datos!AI13))," - ")</f>
        <v>0.57429718875502012</v>
      </c>
      <c r="E13" s="855">
        <f>IF(ISNUMBER(
   IF(J_V="SI",(Datos!L13-Datos!V13)/Datos!V13,(Datos!L13+Datos!AB13-(Datos!V13+Datos!AJ13))/(Datos!V13+Datos!AJ13))
     ),IF(J_V="SI",(Datos!L13-Datos!V13)/Datos!V13,(Datos!L13+Datos!AB13-(Datos!V13+Datos!AJ13))/(Datos!V13+Datos!AJ13))," - ")</f>
        <v>-0.12275985663082438</v>
      </c>
      <c r="F13" s="856">
        <f>IF(ISNUMBER((Datos!M13-Datos!W13)/Datos!W13),(Datos!M13-Datos!W13)/Datos!W13," - ")</f>
        <v>0.265625</v>
      </c>
      <c r="G13" s="857">
        <f>IF(ISNUMBER((Datos!N13-Datos!X13)/Datos!X13),(Datos!N13-Datos!X13)/Datos!X13," - ")</f>
        <v>1.0813953488372092</v>
      </c>
      <c r="H13" s="857">
        <f>IF(ISNUMBER(((NºAsuntos!G13/NºAsuntos!E13)-Datos!BD13)/Datos!BD13),((NºAsuntos!G13/NºAsuntos!E13)-Datos!BD13)/Datos!BD13," - ")</f>
        <v>1.2311231681693662</v>
      </c>
      <c r="I13" s="857">
        <f>IF(ISNUMBER(((NºAsuntos!I13/NºAsuntos!G13)-Datos!BE13)/Datos!BE13),((NºAsuntos!I13/NºAsuntos!G13)-Datos!BE13)/Datos!BE13," - ")</f>
        <v>-0.44277348035988584</v>
      </c>
      <c r="J13" s="857">
        <f>IF(ISNUMBER((('Resol  Asuntos'!D13/NºAsuntos!G13)-Datos!BF13)/Datos!BF13),(('Resol  Asuntos'!D13/NºAsuntos!G13)-Datos!BF13)/Datos!BF13," - ")</f>
        <v>-0.40172638822971052</v>
      </c>
      <c r="K13" s="857">
        <f>IF(ISNUMBER((((NºAsuntos!C13+NºAsuntos!E13)/NºAsuntos!G13)-Datos!BG13)/Datos!BG13),(((NºAsuntos!C13+NºAsuntos!E13)/NºAsuntos!G13)-Datos!BG13)/Datos!BG13," - ")</f>
        <v>-0.36200381251401653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6.768558951965066E-2</v>
      </c>
      <c r="C16" s="456">
        <f>IF(ISNUMBER(
   IF(D_I="SI",(Datos!J16-Datos!T16)/Datos!T16,(Datos!J16+Datos!AD16-(Datos!T16+Datos!AL16))/(Datos!T16+Datos!AL16))
     ),IF(D_I="SI",(Datos!J16-Datos!T16)/Datos!T16,(Datos!J16+Datos!AD16-(Datos!T16+Datos!AL16))/(Datos!T16+Datos!AL16))," - ")</f>
        <v>-6.9090909090909092E-2</v>
      </c>
      <c r="D16" s="456">
        <f>IF(ISNUMBER(
   IF(D_I="SI",(Datos!K16-Datos!U16)/Datos!U16,(Datos!K16+Datos!AE16-(Datos!U16+Datos!AM16))/(Datos!U16+Datos!AM16))
     ),IF(D_I="SI",(Datos!K16-Datos!U16)/Datos!U16,(Datos!K16+Datos!AE16-(Datos!U16+Datos!AM16))/(Datos!U16+Datos!AM16))," - ")</f>
        <v>5.2631578947368418E-2</v>
      </c>
      <c r="E16" s="456">
        <f>IF(ISNUMBER(
   IF(D_I="SI",(Datos!L16-Datos!V16)/Datos!V16,(Datos!L16+Datos!AF16-(Datos!V16+Datos!AN16))/(Datos!V16+Datos!AN16))
     ),IF(D_I="SI",(Datos!L16-Datos!V16)/Datos!V16,(Datos!L16+Datos!AF16-(Datos!V16+Datos!AN16))/(Datos!V16+Datos!AN16))," - ")</f>
        <v>3.937007874015748E-3</v>
      </c>
      <c r="F16" s="456">
        <f>IF(ISNUMBER((Datos!M16-Datos!W16)/Datos!W16),(Datos!M16-Datos!W16)/Datos!W16," - ")</f>
        <v>-0.26829268292682928</v>
      </c>
      <c r="G16" s="457">
        <f>IF(ISNUMBER((Datos!N16-Datos!X16)/Datos!X16),(Datos!N16-Datos!X16)/Datos!X16," - ")</f>
        <v>0.29113924050632911</v>
      </c>
      <c r="H16" s="455">
        <f>IF(ISNUMBER(((NºAsuntos!G16/NºAsuntos!E16)-Datos!BD16)/Datos!BD16),((NºAsuntos!G16/NºAsuntos!E16)-Datos!BD16)/Datos!BD16," - ")</f>
        <v>0.13075657894736842</v>
      </c>
      <c r="I16" s="456">
        <f>IF(ISNUMBER(((NºAsuntos!I16/NºAsuntos!G16)-Datos!BE16)/Datos!BE16),((NºAsuntos!I16/NºAsuntos!G16)-Datos!BE16)/Datos!BE16," - ")</f>
        <v>-4.6259842519684964E-2</v>
      </c>
      <c r="J16" s="461">
        <f>IF(ISNUMBER((('Resol  Asuntos'!D16/NºAsuntos!G16)-Datos!BF16)/Datos!BF16),(('Resol  Asuntos'!D16/NºAsuntos!G16)-Datos!BF16)/Datos!BF16," - ")</f>
        <v>-0.3048780487804878</v>
      </c>
      <c r="K16" s="462">
        <f>IF(ISNUMBER((((NºAsuntos!C16+NºAsuntos!E16)/NºAsuntos!G16)-Datos!BG16)/Datos!BG16),(((NºAsuntos!C16+NºAsuntos!E16)/NºAsuntos!G16)-Datos!BG16)/Datos!BG16," - ")</f>
        <v>-3.4447476125511613E-2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-0.375</v>
      </c>
      <c r="D17" s="456">
        <f>IF(ISNUMBER(
   IF(D_I="SI",(Datos!K17-Datos!U17)/Datos!U17,(Datos!K17+Datos!AE17-(Datos!U17+Datos!AM17))/(Datos!U17+Datos!AM17))
     ),IF(D_I="SI",(Datos!K17-Datos!U17)/Datos!U17,(Datos!K17+Datos!AE17-(Datos!U17+Datos!AM17))/(Datos!U17+Datos!AM17))," - ")</f>
        <v>-0.27272727272727271</v>
      </c>
      <c r="E17" s="456">
        <f>IF(ISNUMBER(
   IF(D_I="SI",(Datos!L17-Datos!V17)/Datos!V17,(Datos!L17+Datos!AF17-(Datos!V17+Datos!AN17))/(Datos!V17+Datos!AN17))
     ),IF(D_I="SI",(Datos!L17-Datos!V17)/Datos!V17,(Datos!L17+Datos!AF17-(Datos!V17+Datos!AN17))/(Datos!V17+Datos!AN17))," - ")</f>
        <v>2.1739130434782608E-2</v>
      </c>
      <c r="F17" s="456">
        <f>IF(ISNUMBER((Datos!M17-Datos!W17)/Datos!W17),(Datos!M17-Datos!W17)/Datos!W17," - ")</f>
        <v>0</v>
      </c>
      <c r="G17" s="457">
        <f>IF(ISNUMBER((Datos!N17-Datos!X17)/Datos!X17),(Datos!N17-Datos!X17)/Datos!X17," - ")</f>
        <v>-0.3125</v>
      </c>
      <c r="H17" s="455">
        <f>IF(ISNUMBER(((NºAsuntos!G17/NºAsuntos!E17)-Datos!BD17)/Datos!BD17),((NºAsuntos!G17/NºAsuntos!E17)-Datos!BD17)/Datos!BD17," - ")</f>
        <v>0.16363636363636366</v>
      </c>
      <c r="I17" s="456">
        <f>IF(ISNUMBER(((NºAsuntos!I17/NºAsuntos!G17)-Datos!BE17)/Datos!BE17),((NºAsuntos!I17/NºAsuntos!G17)-Datos!BE17)/Datos!BE17," - ")</f>
        <v>0.40489130434782616</v>
      </c>
      <c r="J17" s="461">
        <f>IF(ISNUMBER((('Resol  Asuntos'!D17/NºAsuntos!G17)-Datos!BF17)/Datos!BF17),(('Resol  Asuntos'!D17/NºAsuntos!G17)-Datos!BF17)/Datos!BF17," - ")</f>
        <v>0.37500000000000011</v>
      </c>
      <c r="K17" s="462">
        <f>IF(ISNUMBER((((NºAsuntos!C17+NºAsuntos!E17)/NºAsuntos!G17)-Datos!BG17)/Datos!BG17),(((NºAsuntos!C17+NºAsuntos!E17)/NºAsuntos!G17)-Datos!BG17)/Datos!BG17," - ")</f>
        <v>0.27389705882352944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6.9721115537848599E-2</v>
      </c>
      <c r="C18" s="855">
        <f>IF(ISNUMBER(
   IF(Criterios!B14="SI",(Datos!J18-Datos!T18)/Datos!T18,(Datos!J18+Datos!AD18-(Datos!T18+Datos!AL18))/(Datos!T18+Datos!AL18))
     ),IF(Criterios!B14="SI",(Datos!J18-Datos!T18)/Datos!T18,(Datos!J18+Datos!AD18-(Datos!T18+Datos!AL18))/(Datos!T18+Datos!AL18))," - ")</f>
        <v>-9.3645484949832769E-2</v>
      </c>
      <c r="D18" s="855">
        <f>IF(ISNUMBER(
   IF(Criterios!B14="SI",(Datos!K18-Datos!U18)/Datos!U18,(Datos!K18+Datos!AE18-(Datos!U18+Datos!AM18))/(Datos!U18+Datos!AM18))
     ),IF(Criterios!B14="SI",(Datos!K18-Datos!U18)/Datos!U18,(Datos!K18+Datos!AE18-(Datos!U18+Datos!AM18))/(Datos!U18+Datos!AM18))," - ")</f>
        <v>2.4E-2</v>
      </c>
      <c r="E18" s="855">
        <f>IF(ISNUMBER(
   IF(Criterios!B14="SI",(Datos!L18-Datos!V18)/Datos!V18,(Datos!L18+Datos!AF18-(Datos!V18+Datos!AN18))/(Datos!V18+Datos!AN18))
     ),IF(Criterios!B14="SI",(Datos!L18-Datos!V18)/Datos!V18,(Datos!L18+Datos!AF18-(Datos!V18+Datos!AN18))/(Datos!V18+Datos!AN18))," - ")</f>
        <v>5.415162454873646E-3</v>
      </c>
      <c r="F18" s="856">
        <f>IF(ISNUMBER((Datos!M18-Datos!W18)/Datos!W18),(Datos!M18-Datos!W18)/Datos!W18," - ")</f>
        <v>-0.25</v>
      </c>
      <c r="G18" s="857">
        <f>IF(ISNUMBER((Datos!N18-Datos!X18)/Datos!X18),(Datos!N18-Datos!X18)/Datos!X18," - ")</f>
        <v>0.18947368421052632</v>
      </c>
      <c r="H18" s="857">
        <f>IF(ISNUMBER(((NºAsuntos!G18/NºAsuntos!E18)-Datos!BD18)/Datos!BD18),((NºAsuntos!G18/NºAsuntos!E18)-Datos!BD18)/Datos!BD18," - ")</f>
        <v>0.12980073800738004</v>
      </c>
      <c r="I18" s="857">
        <f>IF(ISNUMBER(((NºAsuntos!I18/NºAsuntos!G18)-Datos!BE18)/Datos!BE18),((NºAsuntos!I18/NºAsuntos!G18)-Datos!BE18)/Datos!BE18," - ")</f>
        <v>-1.8149255415162539E-2</v>
      </c>
      <c r="J18" s="857">
        <f>IF(ISNUMBER((('Resol  Asuntos'!D18/NºAsuntos!G18)-Datos!BF18)/Datos!BF18),(('Resol  Asuntos'!D18/NºAsuntos!G18)-Datos!BF18)/Datos!BF18," - ")</f>
        <v>-0.26757812499999994</v>
      </c>
      <c r="K18" s="857">
        <f>IF(ISNUMBER((((NºAsuntos!C18+NºAsuntos!E18)/NºAsuntos!G18)-Datos!BG18)/Datos!BG18),(((NºAsuntos!C18+NºAsuntos!E18)/NºAsuntos!G18)-Datos!BG18)/Datos!BG18," - ")</f>
        <v>-1.4903245942571841E-2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0.11605281445448228</v>
      </c>
      <c r="C19" s="802">
        <f>IF(ISNUMBER(
   IF(J_V="SI",(Datos!J19-Datos!T19)/Datos!T19,(Datos!J19+Datos!Z19-(Datos!T19+Datos!AH19))/(Datos!T19+Datos!AH19))
     ),IF(J_V="SI",(Datos!J19-Datos!T19)/Datos!T19,(Datos!J19+Datos!Z19-(Datos!T19+Datos!AH19))/(Datos!T19+Datos!AH19))," - ")</f>
        <v>-0.21182943603851445</v>
      </c>
      <c r="D19" s="802">
        <f>IF(ISNUMBER(
   IF(J_V="SI",(Datos!K19-Datos!U19)/Datos!U19,(Datos!K19+Datos!AA19-(Datos!U19+Datos!AI19))/(Datos!U19+Datos!AI19))
     ),IF(J_V="SI",(Datos!K19-Datos!U19)/Datos!U19,(Datos!K19+Datos!AA19-(Datos!U19+Datos!AI19))/(Datos!U19+Datos!AI19))," - ")</f>
        <v>0.29859719438877758</v>
      </c>
      <c r="E19" s="802">
        <f>IF(ISNUMBER(
   IF(J_V="SI",(Datos!L19-Datos!V19)/Datos!V19,(Datos!L19+Datos!AB19-(Datos!V19+Datos!AJ19))/(Datos!V19+Datos!AJ19))
     ),IF(J_V="SI",(Datos!L19-Datos!V19)/Datos!V19,(Datos!L19+Datos!AB19-(Datos!V19+Datos!AJ19))/(Datos!V19+Datos!AJ19))," - ")</f>
        <v>-8.0239520958083829E-2</v>
      </c>
      <c r="F19" s="803">
        <f>IF(ISNUMBER((Datos!M19-Datos!W19)/Datos!W19),(Datos!M19-Datos!W19)/Datos!W19," - ")</f>
        <v>5.5555555555555552E-2</v>
      </c>
      <c r="G19" s="804">
        <f>IF(ISNUMBER((Datos!N19-Datos!X19)/Datos!X19),(Datos!N19-Datos!X19)/Datos!X19," - ")</f>
        <v>0.61325966850828728</v>
      </c>
      <c r="H19" s="805">
        <f>IF(ISNUMBER((Tasas!B19-Datos!BD19)/Datos!BD19),(Tasas!B19-Datos!BD19)/Datos!BD19," - ")</f>
        <v>0.64760935483532522</v>
      </c>
      <c r="I19" s="806">
        <f>IF(ISNUMBER((Tasas!C19-Datos!BE19)/Datos!BE19),(Tasas!C19-Datos!BE19)/Datos!BE19," - ")</f>
        <v>-0.29172765579951215</v>
      </c>
      <c r="J19" s="807">
        <f>IF(ISNUMBER((Tasas!D19-Datos!BF19)/Datos!BF19),(Tasas!D19-Datos!BF19)/Datos!BF19," - ")</f>
        <v>-0.32471509971509965</v>
      </c>
      <c r="K19" s="807">
        <f>IF(ISNUMBER((Tasas!E19-Datos!BG19)/Datos!BG19),(Tasas!E19-Datos!BG19)/Datos!BG19," - ")</f>
        <v>-0.22531647914458006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6NPclRc4cZtteFfCLWwaMZWPPOpIGQ0/T/EsSkLZydf+kEIXQCAQVcDlHDZIZxIFff0sjAQHNDL+YiJ9yu6ww==" saltValue="yecOTEiExVeuDg1Z/A3N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1.3076923076923077</v>
      </c>
      <c r="C12" s="443">
        <f>IF(ISNUMBER(NºAsuntos!I12/NºAsuntos!G12),NºAsuntos!I12/NºAsuntos!G12," - ")</f>
        <v>2.4987212276214832</v>
      </c>
      <c r="D12" s="444">
        <f>IF(ISNUMBER('Resol  Asuntos'!D12/NºAsuntos!G12),'Resol  Asuntos'!D12/NºAsuntos!G12," - ")</f>
        <v>0.20716112531969311</v>
      </c>
      <c r="E12" s="445">
        <f>IF(ISNUMBER((NºAsuntos!C12+NºAsuntos!E12)/NºAsuntos!G12),(NºAsuntos!C12+NºAsuntos!E12)/NºAsuntos!G12," - ")</f>
        <v>3.4987212276214832</v>
      </c>
      <c r="G12" s="463"/>
    </row>
    <row r="13" spans="1:7" ht="14.25" thickTop="1" thickBot="1">
      <c r="A13" s="848" t="str">
        <f>Datos!A13</f>
        <v>TOTAL</v>
      </c>
      <c r="B13" s="858">
        <f>IF(ISNUMBER(NºAsuntos!G13/NºAsuntos!E13),NºAsuntos!G13/NºAsuntos!E13," - ")</f>
        <v>1.2980132450331126</v>
      </c>
      <c r="C13" s="859">
        <f>IF(ISNUMBER(NºAsuntos!I13/NºAsuntos!G13),NºAsuntos!I13/NºAsuntos!G13," - ")</f>
        <v>2.4974489795918369</v>
      </c>
      <c r="D13" s="860">
        <f>IF(ISNUMBER('Resol  Asuntos'!D13/NºAsuntos!G13),'Resol  Asuntos'!D13/NºAsuntos!G13," - ")</f>
        <v>0.2066326530612245</v>
      </c>
      <c r="E13" s="861">
        <f>IF(ISNUMBER((NºAsuntos!C13+NºAsuntos!E13)/NºAsuntos!G13),(NºAsuntos!C13+NºAsuntos!E13)/NºAsuntos!G13," - ")</f>
        <v>3.4974489795918369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0.9375</v>
      </c>
      <c r="C16" s="443">
        <f>IF(ISNUMBER(NºAsuntos!I16/NºAsuntos!G16),NºAsuntos!I16/NºAsuntos!G16," - ")</f>
        <v>2.125</v>
      </c>
      <c r="D16" s="444">
        <f>IF(ISNUMBER('Resol  Asuntos'!D16/NºAsuntos!G16),'Resol  Asuntos'!D16/NºAsuntos!G16," - ")</f>
        <v>0.125</v>
      </c>
      <c r="E16" s="445">
        <f>IF(ISNUMBER((NºAsuntos!C16+NºAsuntos!E16)/NºAsuntos!G16),(NºAsuntos!C16+NºAsuntos!E16)/NºAsuntos!G16," - ")</f>
        <v>3.1041666666666665</v>
      </c>
      <c r="G16" s="463"/>
    </row>
    <row r="17" spans="1:7" ht="13.5" thickBot="1">
      <c r="A17" s="402" t="str">
        <f>Datos!A17</f>
        <v>Jdos. Violencia contra la mujer</v>
      </c>
      <c r="B17" s="442">
        <f>IF(ISNUMBER(NºAsuntos!G17/NºAsuntos!E17),NºAsuntos!G17/NºAsuntos!E17," - ")</f>
        <v>1.0666666666666667</v>
      </c>
      <c r="C17" s="443">
        <f>IF(ISNUMBER(NºAsuntos!I17/NºAsuntos!G17),NºAsuntos!I17/NºAsuntos!G17," - ")</f>
        <v>2.9375</v>
      </c>
      <c r="D17" s="444">
        <f>IF(ISNUMBER('Resol  Asuntos'!D17/NºAsuntos!G17),'Resol  Asuntos'!D17/NºAsuntos!G17," - ")</f>
        <v>0.1875</v>
      </c>
      <c r="E17" s="445">
        <f>IF(ISNUMBER((NºAsuntos!C17+NºAsuntos!E17)/NºAsuntos!G17),(NºAsuntos!C17+NºAsuntos!E17)/NºAsuntos!G17," - ")</f>
        <v>3.9375</v>
      </c>
      <c r="G17" s="463"/>
    </row>
    <row r="18" spans="1:7" ht="14.25" thickTop="1" thickBot="1">
      <c r="A18" s="848" t="str">
        <f>Datos!A18</f>
        <v>TOTAL</v>
      </c>
      <c r="B18" s="858">
        <f>IF(ISNUMBER(NºAsuntos!G18/NºAsuntos!E18),NºAsuntos!G18/NºAsuntos!E18," - ")</f>
        <v>0.94464944649446492</v>
      </c>
      <c r="C18" s="859">
        <f>IF(ISNUMBER(NºAsuntos!I18/NºAsuntos!G18),NºAsuntos!I18/NºAsuntos!G18," - ")</f>
        <v>2.17578125</v>
      </c>
      <c r="D18" s="862">
        <f>IF(ISNUMBER('Resol  Asuntos'!D18/NºAsuntos!G18),'Resol  Asuntos'!D18/NºAsuntos!G18," - ")</f>
        <v>0.12890625</v>
      </c>
      <c r="E18" s="861">
        <f>IF(ISNUMBER((NºAsuntos!C18+NºAsuntos!E18)/NºAsuntos!G18),(NºAsuntos!C18+NºAsuntos!E18)/NºAsuntos!G18," - ")</f>
        <v>3.15625</v>
      </c>
      <c r="G18" s="463"/>
    </row>
    <row r="19" spans="1:7" ht="15.75" customHeight="1" thickTop="1" thickBot="1">
      <c r="A19" s="793" t="str">
        <f>Datos!A19</f>
        <v>TOTAL JURISDICCIONES</v>
      </c>
      <c r="B19" s="808">
        <f>IF(ISNUMBER(NºAsuntos!G19/NºAsuntos!E19),NºAsuntos!G19/NºAsuntos!E19," - ")</f>
        <v>1.130890052356021</v>
      </c>
      <c r="C19" s="809">
        <f>IF(ISNUMBER(NºAsuntos!I19/NºAsuntos!G19),NºAsuntos!I19/NºAsuntos!G19," - ")</f>
        <v>2.3703703703703702</v>
      </c>
      <c r="D19" s="810">
        <f>IF(ISNUMBER('Resol  Asuntos'!D19/NºAsuntos!G19),'Resol  Asuntos'!D19/NºAsuntos!G19," - ")</f>
        <v>0.17592592592592593</v>
      </c>
      <c r="E19" s="811">
        <f>IF(ISNUMBER((NºAsuntos!C19+NºAsuntos!E19)/NºAsuntos!G19),(NºAsuntos!C19+NºAsuntos!E19)/NºAsuntos!G19," - ")</f>
        <v>3.3626543209876543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3h4ykj+6t7V4wcXdqdfOVAMPVCN/CY4TS2kJm2Ke9DTPgiEB+MgYu5OiZCZeyf2BSmWIkaQeAC96mL3Eth1BA==" saltValue="dFvUHUbvHuMDW7o8bAYd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2</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v>
      </c>
      <c r="Y12" s="334">
        <f t="shared" si="0"/>
        <v>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1.3076923076923077</v>
      </c>
      <c r="AM12" s="260">
        <f>IF(ISNUMBER(((NºAsuntos!I12/NºAsuntos!G12)*11)/factor_trimestre),((NºAsuntos!I12/NºAsuntos!G12)*11)/factor_trimestre," - ")</f>
        <v>4.9974424552429664</v>
      </c>
      <c r="AN12" s="244">
        <f>IF(ISNUMBER('Resol  Asuntos'!D12/NºAsuntos!G12),'Resol  Asuntos'!D12/NºAsuntos!G12," - ")</f>
        <v>0.20716112531969311</v>
      </c>
      <c r="AO12" s="245">
        <f>IF(ISNUMBER((NºAsuntos!C12+NºAsuntos!E12)/NºAsuntos!G12),(NºAsuntos!C12+NºAsuntos!E12)/NºAsuntos!G12," - ")</f>
        <v>3.4987212276214832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68</v>
      </c>
      <c r="Y13" s="868">
        <f t="shared" si="4"/>
        <v>69</v>
      </c>
      <c r="Z13" s="868">
        <f t="shared" si="4"/>
        <v>0</v>
      </c>
      <c r="AA13" s="868">
        <f t="shared" si="4"/>
        <v>2</v>
      </c>
      <c r="AB13" s="868">
        <f t="shared" si="4"/>
        <v>1472</v>
      </c>
      <c r="AC13" s="868">
        <f t="shared" si="4"/>
        <v>4</v>
      </c>
      <c r="AD13" s="868">
        <f t="shared" si="4"/>
        <v>0</v>
      </c>
      <c r="AE13" s="872">
        <f t="shared" si="4"/>
        <v>0</v>
      </c>
      <c r="AF13" s="865">
        <f t="shared" si="4"/>
        <v>0</v>
      </c>
      <c r="AG13" s="873">
        <f t="shared" si="4"/>
        <v>0</v>
      </c>
      <c r="AH13" s="870">
        <f t="shared" si="4"/>
        <v>0</v>
      </c>
      <c r="AI13" s="865">
        <f t="shared" si="4"/>
        <v>81</v>
      </c>
      <c r="AJ13" s="867">
        <f t="shared" si="4"/>
        <v>0</v>
      </c>
      <c r="AK13" s="870">
        <f>SUBTOTAL(9,AK9:AK12)</f>
        <v>0</v>
      </c>
      <c r="AL13" s="874">
        <f>IF(ISNUMBER(NºAsuntos!G13/NºAsuntos!E13),NºAsuntos!G13/NºAsuntos!E13," - ")</f>
        <v>1.2980132450331126</v>
      </c>
      <c r="AM13" s="874">
        <f>IF(ISNUMBER(((NºAsuntos!I13/NºAsuntos!G13)*11)/factor_trimestre),((NºAsuntos!I13/NºAsuntos!G13)*11)/factor_trimestre," - ")</f>
        <v>4.9948979591836737</v>
      </c>
      <c r="AN13" s="875">
        <f>IF(ISNUMBER('Resol  Asuntos'!D13/NºAsuntos!G13),'Resol  Asuntos'!D13/NºAsuntos!G13," - ")</f>
        <v>0.2066326530612245</v>
      </c>
      <c r="AO13" s="876">
        <f>IF(ISNUMBER((NºAsuntos!C13+NºAsuntos!E13)/NºAsuntos!G13),(NºAsuntos!C13+NºAsuntos!E13)/NºAsuntos!G13," - ")</f>
        <v>3.4974489795918369</v>
      </c>
      <c r="AP13" s="877" t="str">
        <f t="shared" si="2"/>
        <v xml:space="preserve"> - </v>
      </c>
      <c r="AQ13" s="877" t="str">
        <f>IF(ISNUMBER((H13-W13+K13)/(F13)),(H13-W13+K13)/(F13)," - ")</f>
        <v xml:space="preserve"> - </v>
      </c>
      <c r="AR13" s="878">
        <f>IF(ISNUMBER((Datos!P13-Datos!Q13)/(Datos!R13-Datos!P13+Datos!Q13)),(Datos!P13-Datos!Q13)/(Datos!R13-Datos!P13+Datos!Q13)," - ")</f>
        <v>2.2932592077831826E-2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494</v>
      </c>
      <c r="G16" s="333">
        <f>IF(ISNUMBER(IF(D_I="SI",Datos!I16,Datos!I16+Datos!AC16)),IF(D_I="SI",Datos!I16,Datos!I16+Datos!AC16)," - ")</f>
        <v>489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240</v>
      </c>
      <c r="X16" s="226">
        <f>IF(ISNUMBER(Datos!Q16),Datos!Q16," - ")</f>
        <v>26</v>
      </c>
      <c r="Y16" s="334">
        <f t="shared" ref="Y16:Y17" si="7">SUM(W16:X16)</f>
        <v>266</v>
      </c>
      <c r="Z16" s="335" t="str">
        <f>IF(ISNUMBER(Datos!CC16),Datos!CC16," - ")</f>
        <v xml:space="preserve"> - </v>
      </c>
      <c r="AA16" s="332">
        <f>IF(ISNUMBER(IF(D_I="SI",Datos!L16,Datos!L16+Datos!AF16)),IF(D_I="SI",Datos!L16,Datos!L16+Datos!AF16)," - ")</f>
        <v>510</v>
      </c>
      <c r="AB16" s="334">
        <f>IF(ISNUMBER(Datos!R16),Datos!R16," - ")</f>
        <v>65</v>
      </c>
      <c r="AC16" s="334">
        <f t="shared" si="6"/>
        <v>575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0.9375</v>
      </c>
      <c r="AM16" s="260">
        <f>IF(ISNUMBER(((NºAsuntos!I16/NºAsuntos!G16)*11)/factor_trimestre),((NºAsuntos!I16/NºAsuntos!G16)*11)/factor_trimestre," - ")</f>
        <v>4.25</v>
      </c>
      <c r="AN16" s="244">
        <f>IF(ISNUMBER('Resol  Asuntos'!D16/NºAsuntos!G16),'Resol  Asuntos'!D16/NºAsuntos!G16," - ")</f>
        <v>0.125</v>
      </c>
      <c r="AO16" s="245">
        <f>IF(ISNUMBER((NºAsuntos!C16+NºAsuntos!E16)/NºAsuntos!G16),(NºAsuntos!C16+NºAsuntos!E16)/NºAsuntos!G16," - ")</f>
        <v>3.1041666666666665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47</v>
      </c>
      <c r="AB17" s="334">
        <f>IF(ISNUMBER(Datos!R17),Datos!R17," - ")</f>
        <v>0</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1.0666666666666667</v>
      </c>
      <c r="AM17" s="260">
        <f>IF(ISNUMBER(((NºAsuntos!I17/NºAsuntos!G17)*11)/factor_trimestre),((NºAsuntos!I17/NºAsuntos!G17)*11)/factor_trimestre," - ")</f>
        <v>5.875</v>
      </c>
      <c r="AN17" s="244">
        <f>IF(ISNUMBER('Resol  Asuntos'!D17/NºAsuntos!G17),'Resol  Asuntos'!D17/NºAsuntos!G17," - ")</f>
        <v>0.1875</v>
      </c>
      <c r="AO17" s="245">
        <f>IF(ISNUMBER((NºAsuntos!C17+NºAsuntos!E17)/NºAsuntos!G17),(NºAsuntos!C17+NºAsuntos!E17)/NºAsuntos!G17," - ")</f>
        <v>3.9375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494</v>
      </c>
      <c r="G18" s="866">
        <f>SUBTOTAL(9,G15:G17)</f>
        <v>537</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256</v>
      </c>
      <c r="X18" s="867">
        <f t="shared" si="11"/>
        <v>26</v>
      </c>
      <c r="Y18" s="868">
        <f t="shared" si="11"/>
        <v>282</v>
      </c>
      <c r="Z18" s="868">
        <f t="shared" si="11"/>
        <v>0</v>
      </c>
      <c r="AA18" s="868">
        <f t="shared" si="11"/>
        <v>557</v>
      </c>
      <c r="AB18" s="868">
        <f t="shared" si="11"/>
        <v>65</v>
      </c>
      <c r="AC18" s="868">
        <f t="shared" si="11"/>
        <v>622</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0.94464944649446492</v>
      </c>
      <c r="AM18" s="874">
        <f>IF(ISNUMBER(((NºAsuntos!I18/NºAsuntos!G18)*11)/factor_trimestre),((NºAsuntos!I18/NºAsuntos!G18)*11)/factor_trimestre," - ")</f>
        <v>4.3515625</v>
      </c>
      <c r="AN18" s="875">
        <f>IF(ISNUMBER('Resol  Asuntos'!D18/NºAsuntos!G18),'Resol  Asuntos'!D18/NºAsuntos!G18," - ")</f>
        <v>0.12890625</v>
      </c>
      <c r="AO18" s="876">
        <f>IF(ISNUMBER((NºAsuntos!C18+NºAsuntos!E18)/NºAsuntos!G18),(NºAsuntos!C18+NºAsuntos!E18)/NºAsuntos!G18," - ")</f>
        <v>3.15625</v>
      </c>
      <c r="AP18" s="877" t="str">
        <f t="shared" si="2"/>
        <v xml:space="preserve"> - </v>
      </c>
      <c r="AQ18" s="877">
        <f>IF(ISNUMBER((H18-W18+K18)/(F18)),(H18-W18+K18)/(F18)," - ")</f>
        <v>-0.51821862348178138</v>
      </c>
      <c r="AR18" s="878">
        <f>IF(ISNUMBER((Datos!P18-Datos!Q18)/(Datos!R18-Datos!P18+Datos!Q18)),(Datos!P18-Datos!Q18)/(Datos!R18-Datos!P18+Datos!Q18)," - ")</f>
        <v>-0.23529411764705882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494</v>
      </c>
      <c r="G19" s="821">
        <f t="shared" si="13"/>
        <v>537</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257</v>
      </c>
      <c r="X19" s="821">
        <f t="shared" si="14"/>
        <v>94</v>
      </c>
      <c r="Y19" s="828">
        <f t="shared" si="14"/>
        <v>351</v>
      </c>
      <c r="Z19" s="828">
        <f t="shared" si="14"/>
        <v>0</v>
      </c>
      <c r="AA19" s="828">
        <f t="shared" si="14"/>
        <v>559</v>
      </c>
      <c r="AB19" s="828">
        <f t="shared" si="14"/>
        <v>1537</v>
      </c>
      <c r="AC19" s="828">
        <f t="shared" si="14"/>
        <v>626</v>
      </c>
      <c r="AD19" s="828">
        <f t="shared" si="14"/>
        <v>0</v>
      </c>
      <c r="AE19" s="830">
        <f t="shared" si="14"/>
        <v>0</v>
      </c>
      <c r="AF19" s="831">
        <f t="shared" si="14"/>
        <v>0</v>
      </c>
      <c r="AG19" s="832">
        <f t="shared" si="14"/>
        <v>0</v>
      </c>
      <c r="AH19" s="830">
        <f t="shared" si="14"/>
        <v>0</v>
      </c>
      <c r="AI19" s="820">
        <f t="shared" si="14"/>
        <v>114</v>
      </c>
      <c r="AJ19" s="820">
        <f t="shared" si="14"/>
        <v>0</v>
      </c>
      <c r="AK19" s="830">
        <f t="shared" si="14"/>
        <v>0</v>
      </c>
      <c r="AL19" s="884">
        <f>IF(ISNUMBER(NºAsuntos!G19/NºAsuntos!E19),NºAsuntos!G19/NºAsuntos!E19," - ")</f>
        <v>1.130890052356021</v>
      </c>
      <c r="AM19" s="885">
        <f>IF(ISNUMBER(((NºAsuntos!I19/NºAsuntos!G19)*11)/factor_trimestre),((NºAsuntos!I19/NºAsuntos!G19)*11)/factor_trimestre," - ")</f>
        <v>4.7407407407407405</v>
      </c>
      <c r="AN19" s="885">
        <f>IF(ISNUMBER('Resol  Asuntos'!D19/NºAsuntos!G19),'Resol  Asuntos'!D19/NºAsuntos!G19," - ")</f>
        <v>0.17592592592592593</v>
      </c>
      <c r="AO19" s="886">
        <f>IF(ISNUMBER((NºAsuntos!C19+NºAsuntos!E19)/NºAsuntos!G19),(NºAsuntos!C19+NºAsuntos!E19)/NºAsuntos!G19," - ")</f>
        <v>3.3626543209876543</v>
      </c>
      <c r="AP19" s="887" t="str">
        <f t="shared" si="2"/>
        <v xml:space="preserve"> - </v>
      </c>
      <c r="AQ19" s="888">
        <f>IF(OR(ISNUMBER(FIND("01",Criterios!A8,1)),ISNUMBER(FIND("02",Criterios!A8,1)),ISNUMBER(FIND("03",Criterios!A8,1)),ISNUMBER(FIND("04",Criterios!A8,1))),(I19-W19+K19)/(F19-K19),(H19-W19+K19)/(F19-K19))</f>
        <v>-0.52024291497975705</v>
      </c>
      <c r="AR19" s="889">
        <f>IF(ISNUMBER((Datos!P19-Datos!Q19)/(Datos!R19-Datos!P19+Datos!Q19)),(Datos!P19-Datos!Q19)/(Datos!R19-Datos!P19+Datos!Q19)," - ")</f>
        <v>8.5301837270341206E-3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285.21103297967511</v>
      </c>
      <c r="G21" s="253">
        <f>IF(ISNUMBER(STDEV(G8:G18)),STDEV(G8:G18),"-")</f>
        <v>273.44962973096159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132.81076763576061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35.933271490361129</v>
      </c>
      <c r="AJ21" s="252">
        <f t="shared" si="18"/>
        <v>0</v>
      </c>
      <c r="AK21" s="254">
        <f t="shared" si="18"/>
        <v>0</v>
      </c>
      <c r="AL21" s="249">
        <f t="shared" si="18"/>
        <v>0.35700117354348138</v>
      </c>
      <c r="AM21" s="250">
        <f t="shared" si="18"/>
        <v>0.68671960056781089</v>
      </c>
      <c r="AN21" s="250">
        <f t="shared" si="18"/>
        <v>7.8887694460903213E-2</v>
      </c>
      <c r="AO21" s="251">
        <f t="shared" si="18"/>
        <v>0.34871568804197534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T7jq9CHgM0Z3YhzNNG9Vsdl4Td4h3SmwzHlAEcWl8q5FnudAVivq1nPRuFR9jaAWv7FjjiSB2KkFHmcL2sdkg==" saltValue="erKLph1pu+ihPh3ZyM++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0.265625</v>
      </c>
      <c r="I12" s="350">
        <f>IF(ISNUMBER((Tasas!C12-Datos!BE12)/Datos!BE12),(Tasas!C12-Datos!BE12)/Datos!BE12," - ")</f>
        <v>-0.44248961856832497</v>
      </c>
      <c r="J12" s="349">
        <f>IF(ISNUMBER((Tasas!D12-Datos!BF12)/Datos!BF12),(Tasas!D12-Datos!BF12)/Datos!BF12," - ")</f>
        <v>-0.40019627669065605</v>
      </c>
      <c r="K12" s="351">
        <f>IF(ISNUMBER((Tasas!E12-Datos!BG12)/Datos!BG12),(Tasas!E12-Datos!BG12)/Datos!BG12," - ")</f>
        <v>-0.36177173210421293</v>
      </c>
      <c r="M12" t="e">
        <f>IF(Monitorios="SI",Datos!CE12,0)</f>
        <v>#REF!</v>
      </c>
      <c r="N12" t="e">
        <f>IF(Monitorios="SI",Datos!CF12,0)</f>
        <v>#REF!</v>
      </c>
      <c r="O12" t="e">
        <f>IF(Monitorios="SI",Datos!CG12,0)</f>
        <v>#REF!</v>
      </c>
      <c r="P12" t="e">
        <f>IF(Monitorios="SI",Datos!CH12,0)</f>
        <v>#REF!</v>
      </c>
      <c r="Q12">
        <f>IF(J_V="SI",0,Datos!AG12)</f>
        <v>43</v>
      </c>
      <c r="R12">
        <f>IF(J_V="SI",0,Datos!AH12)</f>
        <v>36</v>
      </c>
      <c r="S12">
        <f>IF(J_V="SI",0,Datos!AI12)</f>
        <v>40</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0.265625</v>
      </c>
      <c r="I13" s="357">
        <f>IF(ISNUMBER((Tasas!C13-Datos!BE13)/Datos!BE13),(Tasas!C13-Datos!BE13)/Datos!BE13," - ")</f>
        <v>-0.44277348035988584</v>
      </c>
      <c r="J13" s="355">
        <f>IF(ISNUMBER((Tasas!D13-Datos!BF13)/Datos!BF13),(Tasas!D13-Datos!BF13)/Datos!BF13," - ")</f>
        <v>-0.40172638822971052</v>
      </c>
      <c r="K13" s="358">
        <f>IF(ISNUMBER((Tasas!E13-Datos!BG13)/Datos!BG13),(Tasas!E13-Datos!BG13)/Datos!BG13," - ")</f>
        <v>-0.36200381251401653</v>
      </c>
      <c r="M13" t="e">
        <f>IF(Monitorios="SI",Datos!CE13,0)</f>
        <v>#REF!</v>
      </c>
      <c r="N13" t="e">
        <f>IF(Monitorios="SI",Datos!CF13,0)</f>
        <v>#REF!</v>
      </c>
      <c r="O13" t="e">
        <f>IF(Monitorios="SI",Datos!CG13,0)</f>
        <v>#REF!</v>
      </c>
      <c r="P13" t="e">
        <f>IF(Monitorios="SI",Datos!CH13,0)</f>
        <v>#REF!</v>
      </c>
      <c r="Q13">
        <f>IF(J_V="SI",0,Datos!AG13)</f>
        <v>43</v>
      </c>
      <c r="R13">
        <f>IF(J_V="SI",0,Datos!AH13)</f>
        <v>36</v>
      </c>
      <c r="S13">
        <f>IF(J_V="SI",0,Datos!AI13)</f>
        <v>40</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6.768558951965066E-2</v>
      </c>
      <c r="E16" s="348">
        <f>IF(ISNUMBER(
   IF(D_I="SI",(Datos!J16-Datos!T16)/Datos!T16,(Datos!J16+Datos!AD16-(Datos!T16+Datos!AL16))/(Datos!T16+Datos!AL16))
     ),IF(D_I="SI",(Datos!J16-Datos!T16)/Datos!T16,(Datos!J16+Datos!AD16-(Datos!T16+Datos!AL16))/(Datos!T16+Datos!AL16))," - ")</f>
        <v>-6.9090909090909092E-2</v>
      </c>
      <c r="F16" s="348">
        <f>IF(ISNUMBER(
   IF(D_I="SI",(Datos!K16-Datos!U16)/Datos!U16,(Datos!K16+Datos!AE16-(Datos!U16+Datos!AM16))/(Datos!U16+Datos!AM16))
     ),IF(D_I="SI",(Datos!K16-Datos!U16)/Datos!U16,(Datos!K16+Datos!AE16-(Datos!U16+Datos!AM16))/(Datos!U16+Datos!AM16))," - ")</f>
        <v>5.2631578947368418E-2</v>
      </c>
      <c r="G16" s="349">
        <f>IF(ISNUMBER(
   IF(D_I="SI",(Datos!L16-Datos!V16)/Datos!V16,(Datos!L16+Datos!AF16-(Datos!V16+Datos!AN16))/(Datos!V16+Datos!AN16))
     ),IF(D_I="SI",(Datos!L16-Datos!V16)/Datos!V16,(Datos!L16+Datos!AF16-(Datos!V16+Datos!AN16))/(Datos!V16+Datos!AN16))," - ")</f>
        <v>3.937007874015748E-3</v>
      </c>
      <c r="H16" s="230">
        <f>IF(ISNUMBER((Datos!M16-Datos!W16)/Datos!W16),(Datos!M16-Datos!W16)/Datos!W16," - ")</f>
        <v>-0.26829268292682928</v>
      </c>
      <c r="I16" s="350">
        <f>IF(ISNUMBER((Tasas!C16-Datos!BE16)/Datos!BE16),(Tasas!C16-Datos!BE16)/Datos!BE16," - ")</f>
        <v>-4.6259842519684964E-2</v>
      </c>
      <c r="J16" s="349">
        <f>IF(ISNUMBER((Tasas!D16-Datos!BF16)/Datos!BF16),(Tasas!D16-Datos!BF16)/Datos!BF16," - ")</f>
        <v>-0.3048780487804878</v>
      </c>
      <c r="K16" s="351">
        <f>IF(ISNUMBER((Tasas!E16-Datos!BG16)/Datos!BG16),(Tasas!E16-Datos!BG16)/Datos!BG16," - ")</f>
        <v>-3.4447476125511613E-2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-0.375</v>
      </c>
      <c r="F17" s="348">
        <f>IF(ISNUMBER(
   IF(D_I="SI",(Datos!K17-Datos!U17)/Datos!U17,(Datos!K17+Datos!AE17-(Datos!U17+Datos!AM17))/(Datos!U17+Datos!AM17))
     ),IF(D_I="SI",(Datos!K17-Datos!U17)/Datos!U17,(Datos!K17+Datos!AE17-(Datos!U17+Datos!AM17))/(Datos!U17+Datos!AM17))," - ")</f>
        <v>-0.27272727272727271</v>
      </c>
      <c r="G17" s="349">
        <f>IF(ISNUMBER(
   IF(D_I="SI",(Datos!L17-Datos!V17)/Datos!V17,(Datos!L17+Datos!AF17-(Datos!V17+Datos!AN17))/(Datos!V17+Datos!AN17))
     ),IF(D_I="SI",(Datos!L17-Datos!V17)/Datos!V17,(Datos!L17+Datos!AF17-(Datos!V17+Datos!AN17))/(Datos!V17+Datos!AN17))," - ")</f>
        <v>2.1739130434782608E-2</v>
      </c>
      <c r="H17" s="230">
        <f>IF(ISNUMBER((Datos!M17-Datos!W17)/Datos!W17),(Datos!M17-Datos!W17)/Datos!W17," - ")</f>
        <v>0</v>
      </c>
      <c r="I17" s="350">
        <f>IF(ISNUMBER((Tasas!C17-Datos!BE17)/Datos!BE17),(Tasas!C17-Datos!BE17)/Datos!BE17," - ")</f>
        <v>0.40489130434782616</v>
      </c>
      <c r="J17" s="349">
        <f>IF(ISNUMBER((Tasas!D17-Datos!BF17)/Datos!BF17),(Tasas!D17-Datos!BF17)/Datos!BF17," - ")</f>
        <v>0.37500000000000011</v>
      </c>
      <c r="K17" s="351">
        <f>IF(ISNUMBER((Tasas!E17-Datos!BG17)/Datos!BG17),(Tasas!E17-Datos!BG17)/Datos!BG17," - ")</f>
        <v>0.27389705882352944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6.9721115537848599E-2</v>
      </c>
      <c r="E18" s="354">
        <f>IF(ISNUMBER(
   IF(D_I="SI",(Datos!J18-Datos!T18)/Datos!T18,(Datos!J18+Datos!AD18-(Datos!T18+Datos!AL18))/(Datos!T18+Datos!AL18))
     ),IF(D_I="SI",(Datos!J18-Datos!T18)/Datos!T18,(Datos!J18+Datos!AD18-(Datos!T18+Datos!AL18))/(Datos!T18+Datos!AL18))," - ")</f>
        <v>-9.3645484949832769E-2</v>
      </c>
      <c r="F18" s="354">
        <f>IF(ISNUMBER(
   IF(D_I="SI",(Datos!K18-Datos!U18)/Datos!U18,(Datos!K18+Datos!AE18-(Datos!U18+Datos!AM18))/(Datos!U18+Datos!AM18))
     ),IF(D_I="SI",(Datos!K18-Datos!U18)/Datos!U18,(Datos!K18+Datos!AE18-(Datos!U18+Datos!AM18))/(Datos!U18+Datos!AM18))," - ")</f>
        <v>2.4E-2</v>
      </c>
      <c r="G18" s="355">
        <f>IF(ISNUMBER(
   IF(D_I="SI",(Datos!L18-Datos!V18)/Datos!V18,(Datos!L18+Datos!AF18-(Datos!V18+Datos!AN18))/(Datos!V18+Datos!AN18))
     ),IF(D_I="SI",(Datos!L18-Datos!V18)/Datos!V18,(Datos!L18+Datos!AF18-(Datos!V18+Datos!AN18))/(Datos!V18+Datos!AN18))," - ")</f>
        <v>5.415162454873646E-3</v>
      </c>
      <c r="H18" s="356">
        <f>IF(ISNUMBER((Datos!M18-Datos!W18)/Datos!W18),(Datos!M18-Datos!W18)/Datos!W18," - ")</f>
        <v>-0.25</v>
      </c>
      <c r="I18" s="357">
        <f>IF(ISNUMBER((Tasas!C18-Datos!BE18)/Datos!BE18),(Tasas!C18-Datos!BE18)/Datos!BE18," - ")</f>
        <v>-1.8149255415162539E-2</v>
      </c>
      <c r="J18" s="355">
        <f>IF(ISNUMBER((Tasas!D18-Datos!BF18)/Datos!BF18),(Tasas!D18-Datos!BF18)/Datos!BF18," - ")</f>
        <v>-0.26757812499999994</v>
      </c>
      <c r="K18" s="358">
        <f>IF(ISNUMBER((Tasas!E18-Datos!BG18)/Datos!BG18),(Tasas!E18-Datos!BG18)/Datos!BG18," - ")</f>
        <v>-1.4903245942571841E-2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0.11605281445448228</v>
      </c>
      <c r="E19" s="363">
        <f>IF(ISNUMBER(
   IF(J_V="SI",(Datos!J19-Datos!T19)/Datos!T19,(Datos!J19+Datos!Z19-(Datos!T19+Datos!AH19))/(Datos!T19+Datos!AH19))
     ),IF(J_V="SI",(Datos!J19-Datos!T19)/Datos!T19,(Datos!J19+Datos!Z19-(Datos!T19+Datos!AH19))/(Datos!T19+Datos!AH19))," - ")</f>
        <v>-0.21182943603851445</v>
      </c>
      <c r="F19" s="363">
        <f>IF(ISNUMBER(
   IF(J_V="SI",(Datos!K19-Datos!U19)/Datos!U19,(Datos!K19+Datos!AA19-(Datos!U19+Datos!AI19))/(Datos!U19+Datos!AI19))
     ),IF(J_V="SI",(Datos!K19-Datos!U19)/Datos!U19,(Datos!K19+Datos!AA19-(Datos!U19+Datos!AI19))/(Datos!U19+Datos!AI19))," - ")</f>
        <v>0.29859719438877758</v>
      </c>
      <c r="G19" s="364">
        <f>IF(ISNUMBER(
   IF(J_V="SI",(Datos!L19-Datos!V19)/Datos!V19,(Datos!L19+Datos!AB19-(Datos!V19+Datos!AJ19))/(Datos!V19+Datos!AJ19))
     ),IF(J_V="SI",(Datos!L19-Datos!V19)/Datos!V19,(Datos!L19+Datos!AB19-(Datos!V19+Datos!AJ19))/(Datos!V19+Datos!AJ19))," - ")</f>
        <v>-8.0239520958083829E-2</v>
      </c>
      <c r="H19" s="365">
        <f>IF(ISNUMBER((Datos!M19-Datos!W19)/Datos!W19),(Datos!M19-Datos!W19)/Datos!W19," - ")</f>
        <v>5.5555555555555552E-2</v>
      </c>
      <c r="I19" s="362">
        <f>IF(ISNUMBER((Tasas!C19-Datos!BE19)/Datos!BE19),(Tasas!C19-Datos!BE19)/Datos!BE19," - ")</f>
        <v>-0.29172765579951215</v>
      </c>
      <c r="J19" s="363">
        <f>IF(ISNUMBER((Tasas!D19-Datos!BF19)/Datos!BF19),(Tasas!D19-Datos!BF19)/Datos!BF19," - ")</f>
        <v>-0.32471509971509965</v>
      </c>
      <c r="K19" s="364">
        <f>IF(ISNUMBER((Tasas!E19-Datos!BG19)/Datos!BG19),(Tasas!E19-Datos!BG19)/Datos!BG19," - ")</f>
        <v>-0.22531647914458006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1.2860823478614244E-2</v>
      </c>
      <c r="E21" s="278">
        <f t="shared" si="1"/>
        <v>0.16997238120527741</v>
      </c>
      <c r="F21" s="278">
        <f t="shared" si="1"/>
        <v>0.180150503772182</v>
      </c>
      <c r="G21" s="279">
        <f t="shared" si="1"/>
        <v>9.8790387457701623E-3</v>
      </c>
      <c r="H21" s="285">
        <f t="shared" si="1"/>
        <v>0.26246936323546849</v>
      </c>
      <c r="I21" s="277">
        <f t="shared" si="1"/>
        <v>0.353162324618356</v>
      </c>
      <c r="J21" s="278">
        <f t="shared" si="1"/>
        <v>0.32671211174184067</v>
      </c>
      <c r="K21" s="279">
        <f t="shared" si="1"/>
        <v>0.26856466642641563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ebdVWDveMv/1vNTlinXTOQXcMq2NXFh4nvF18+01XZuBzhxViZ4bDIjodlRgg4yITZJ0IlE63IByBlSYQlB7w==" saltValue="smEWApJmGF8UD52vu2BK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